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230"/>
  </bookViews>
  <sheets>
    <sheet name="2008" sheetId="6" r:id="rId1"/>
    <sheet name="Hypothèses_Scenario_0" sheetId="4" r:id="rId2"/>
    <sheet name="Lucy" sheetId="2" r:id="rId3"/>
    <sheet name="Provence_4" sheetId="7" r:id="rId4"/>
    <sheet name="Hornaing" sheetId="9" r:id="rId5"/>
    <sheet name="Data_Lucy" sheetId="5" r:id="rId6"/>
    <sheet name="Data_Provence_4" sheetId="8" r:id="rId7"/>
    <sheet name="Data_Hornaing" sheetId="10" r:id="rId8"/>
  </sheets>
  <calcPr calcId="125725" iterate="1"/>
</workbook>
</file>

<file path=xl/calcChain.xml><?xml version="1.0" encoding="utf-8"?>
<calcChain xmlns="http://schemas.openxmlformats.org/spreadsheetml/2006/main">
  <c r="Q40" i="10"/>
  <c r="Q39"/>
  <c r="Q38"/>
  <c r="Q37"/>
  <c r="Q36"/>
  <c r="Q35"/>
  <c r="Q31"/>
  <c r="Q30"/>
  <c r="Q29"/>
  <c r="Q28"/>
  <c r="Q27"/>
  <c r="Q26"/>
  <c r="Q22"/>
  <c r="Q21"/>
  <c r="Q20"/>
  <c r="Q19"/>
  <c r="Q18"/>
  <c r="Q14"/>
  <c r="Q13"/>
  <c r="Q12"/>
  <c r="Q11"/>
  <c r="Q10"/>
  <c r="Q6"/>
  <c r="Q5"/>
  <c r="Q4"/>
  <c r="Q3"/>
  <c r="Q2"/>
  <c r="Q40" i="8"/>
  <c r="O40"/>
  <c r="Q39"/>
  <c r="O39"/>
  <c r="Q38"/>
  <c r="O38"/>
  <c r="Q37"/>
  <c r="O37"/>
  <c r="Q36"/>
  <c r="O36"/>
  <c r="Q35"/>
  <c r="O35"/>
  <c r="Q31"/>
  <c r="O31"/>
  <c r="Q30"/>
  <c r="O30"/>
  <c r="Q29"/>
  <c r="O29"/>
  <c r="Q28"/>
  <c r="O28"/>
  <c r="Q27"/>
  <c r="O27"/>
  <c r="Q26"/>
  <c r="O26"/>
  <c r="Q23"/>
  <c r="O23"/>
  <c r="Q22"/>
  <c r="O22"/>
  <c r="Q21"/>
  <c r="O21"/>
  <c r="Q20"/>
  <c r="O20"/>
  <c r="Q19"/>
  <c r="O19"/>
  <c r="Q18"/>
  <c r="O18"/>
  <c r="Q15"/>
  <c r="O15"/>
  <c r="Q14"/>
  <c r="O14"/>
  <c r="Q13"/>
  <c r="O13"/>
  <c r="Q12"/>
  <c r="O12"/>
  <c r="Q11"/>
  <c r="O11"/>
  <c r="Q10"/>
  <c r="O10"/>
  <c r="Q7"/>
  <c r="O7"/>
  <c r="Q6"/>
  <c r="O6"/>
  <c r="Q5"/>
  <c r="O5"/>
  <c r="Q4"/>
  <c r="O4"/>
  <c r="Q3"/>
  <c r="O3"/>
  <c r="Q2"/>
  <c r="O2"/>
  <c r="S40" i="10"/>
  <c r="R40" s="1"/>
  <c r="O40" s="1"/>
  <c r="D43" i="9" s="1"/>
  <c r="F43" s="1"/>
  <c r="P40" i="10"/>
  <c r="S39"/>
  <c r="R39" s="1"/>
  <c r="O39" s="1"/>
  <c r="B42" i="9" s="1"/>
  <c r="D42" s="1"/>
  <c r="F42" s="1"/>
  <c r="P39" i="10"/>
  <c r="S38"/>
  <c r="R38" s="1"/>
  <c r="O38" s="1"/>
  <c r="B41" i="9" s="1"/>
  <c r="D41" s="1"/>
  <c r="F41" s="1"/>
  <c r="P38" i="10"/>
  <c r="S37"/>
  <c r="R37" s="1"/>
  <c r="O37" s="1"/>
  <c r="B40" i="9" s="1"/>
  <c r="D40" s="1"/>
  <c r="F40" s="1"/>
  <c r="P37" i="10"/>
  <c r="S36"/>
  <c r="R36" s="1"/>
  <c r="O36" s="1"/>
  <c r="B39" i="9" s="1"/>
  <c r="D39" s="1"/>
  <c r="F39" s="1"/>
  <c r="P36" i="10"/>
  <c r="S35"/>
  <c r="R35" s="1"/>
  <c r="O35" s="1"/>
  <c r="B38" i="9" s="1"/>
  <c r="D38" s="1"/>
  <c r="F38" s="1"/>
  <c r="P35" i="10"/>
  <c r="S31"/>
  <c r="R31" s="1"/>
  <c r="O31" s="1"/>
  <c r="D34" i="9" s="1"/>
  <c r="F34" s="1"/>
  <c r="P31" i="10"/>
  <c r="S30"/>
  <c r="R30" s="1"/>
  <c r="O30" s="1"/>
  <c r="B33" i="9" s="1"/>
  <c r="D33" s="1"/>
  <c r="F33" s="1"/>
  <c r="P30" i="10"/>
  <c r="S29"/>
  <c r="R29" s="1"/>
  <c r="O29" s="1"/>
  <c r="B32" i="9" s="1"/>
  <c r="D32" s="1"/>
  <c r="F32" s="1"/>
  <c r="P29" i="10"/>
  <c r="S28"/>
  <c r="R28" s="1"/>
  <c r="O28" s="1"/>
  <c r="B31" i="9" s="1"/>
  <c r="D31" s="1"/>
  <c r="F31" s="1"/>
  <c r="P28" i="10"/>
  <c r="S27"/>
  <c r="R27" s="1"/>
  <c r="O27" s="1"/>
  <c r="B30" i="9" s="1"/>
  <c r="D30" s="1"/>
  <c r="F30" s="1"/>
  <c r="P27" i="10"/>
  <c r="S26"/>
  <c r="R26" s="1"/>
  <c r="O26" s="1"/>
  <c r="B29" i="9" s="1"/>
  <c r="D29" s="1"/>
  <c r="F29" s="1"/>
  <c r="P26" i="10"/>
  <c r="D25" i="9"/>
  <c r="F25" s="1"/>
  <c r="S22" i="10"/>
  <c r="R22" s="1"/>
  <c r="P22"/>
  <c r="S21"/>
  <c r="R21" s="1"/>
  <c r="O21" s="1"/>
  <c r="B23" i="9" s="1"/>
  <c r="D23" s="1"/>
  <c r="F23" s="1"/>
  <c r="P21" i="10"/>
  <c r="S20"/>
  <c r="R20" s="1"/>
  <c r="P20"/>
  <c r="S19"/>
  <c r="R19" s="1"/>
  <c r="O19" s="1"/>
  <c r="B21" i="9" s="1"/>
  <c r="D21" s="1"/>
  <c r="F21" s="1"/>
  <c r="P19" i="10"/>
  <c r="S18"/>
  <c r="R18" s="1"/>
  <c r="P18"/>
  <c r="D16" i="9"/>
  <c r="F16" s="1"/>
  <c r="S14" i="10"/>
  <c r="R14" s="1"/>
  <c r="O14" s="1"/>
  <c r="B15" i="9" s="1"/>
  <c r="D15" s="1"/>
  <c r="F15" s="1"/>
  <c r="P14" i="10"/>
  <c r="S13"/>
  <c r="R13" s="1"/>
  <c r="O13" s="1"/>
  <c r="B14" i="9" s="1"/>
  <c r="D14" s="1"/>
  <c r="F14" s="1"/>
  <c r="P13" i="10"/>
  <c r="S12"/>
  <c r="R12" s="1"/>
  <c r="O12" s="1"/>
  <c r="B13" i="9" s="1"/>
  <c r="D13" s="1"/>
  <c r="F13" s="1"/>
  <c r="P12" i="10"/>
  <c r="S11"/>
  <c r="R11" s="1"/>
  <c r="O11" s="1"/>
  <c r="B12" i="9" s="1"/>
  <c r="D12" s="1"/>
  <c r="F12" s="1"/>
  <c r="P11" i="10"/>
  <c r="S10"/>
  <c r="R10" s="1"/>
  <c r="O10" s="1"/>
  <c r="B11" i="9" s="1"/>
  <c r="D11" s="1"/>
  <c r="F11" s="1"/>
  <c r="P10" i="10"/>
  <c r="D7" i="9"/>
  <c r="F7" s="1"/>
  <c r="S6" i="10"/>
  <c r="R6" s="1"/>
  <c r="O6" s="1"/>
  <c r="B6" i="9" s="1"/>
  <c r="D6" s="1"/>
  <c r="F6" s="1"/>
  <c r="P6" i="10"/>
  <c r="S5"/>
  <c r="R5" s="1"/>
  <c r="O5" s="1"/>
  <c r="B5" i="9" s="1"/>
  <c r="D5" s="1"/>
  <c r="F5" s="1"/>
  <c r="P5" i="10"/>
  <c r="S4"/>
  <c r="R4" s="1"/>
  <c r="O4" s="1"/>
  <c r="B4" i="9" s="1"/>
  <c r="D4" s="1"/>
  <c r="F4" s="1"/>
  <c r="P4" i="10"/>
  <c r="S3"/>
  <c r="R3" s="1"/>
  <c r="O3" s="1"/>
  <c r="B3" i="9" s="1"/>
  <c r="D3" s="1"/>
  <c r="F3" s="1"/>
  <c r="P3" i="10"/>
  <c r="S2"/>
  <c r="R2" s="1"/>
  <c r="O2" s="1"/>
  <c r="B2" i="9" s="1"/>
  <c r="D2" s="1"/>
  <c r="F2" s="1"/>
  <c r="P2" i="10"/>
  <c r="O18" l="1"/>
  <c r="B20" i="9" s="1"/>
  <c r="D20" s="1"/>
  <c r="F20" s="1"/>
  <c r="O20" i="10"/>
  <c r="B22" i="9" s="1"/>
  <c r="D22" s="1"/>
  <c r="F22" s="1"/>
  <c r="O22" i="10"/>
  <c r="B24" i="9" s="1"/>
  <c r="D24" s="1"/>
  <c r="F24" s="1"/>
  <c r="R40" i="5" l="1"/>
  <c r="R39"/>
  <c r="R38"/>
  <c r="R37"/>
  <c r="R36"/>
  <c r="R35"/>
  <c r="R31"/>
  <c r="R30"/>
  <c r="R29"/>
  <c r="R28"/>
  <c r="R27"/>
  <c r="R26"/>
  <c r="R23"/>
  <c r="R22"/>
  <c r="R21"/>
  <c r="R20"/>
  <c r="R19"/>
  <c r="R18"/>
  <c r="R15"/>
  <c r="R14"/>
  <c r="R13"/>
  <c r="R12"/>
  <c r="R11"/>
  <c r="R10"/>
  <c r="R7"/>
  <c r="R6"/>
  <c r="R5"/>
  <c r="R4"/>
  <c r="R3"/>
  <c r="R2"/>
  <c r="S40"/>
  <c r="S39"/>
  <c r="S38"/>
  <c r="S37"/>
  <c r="S36"/>
  <c r="S35"/>
  <c r="S31"/>
  <c r="S30"/>
  <c r="S29"/>
  <c r="S28"/>
  <c r="S27"/>
  <c r="S26"/>
  <c r="S23"/>
  <c r="S22"/>
  <c r="S21"/>
  <c r="S20"/>
  <c r="S19"/>
  <c r="S18"/>
  <c r="S15"/>
  <c r="S14"/>
  <c r="S13"/>
  <c r="S12"/>
  <c r="S11"/>
  <c r="S10"/>
  <c r="S7"/>
  <c r="S6"/>
  <c r="S5"/>
  <c r="S4"/>
  <c r="S3"/>
  <c r="S2"/>
  <c r="R40" i="8"/>
  <c r="R39"/>
  <c r="R38"/>
  <c r="R37"/>
  <c r="R36"/>
  <c r="R35"/>
  <c r="R31"/>
  <c r="R30"/>
  <c r="R29"/>
  <c r="R28"/>
  <c r="R27"/>
  <c r="R26"/>
  <c r="R23"/>
  <c r="R22"/>
  <c r="R21"/>
  <c r="R20"/>
  <c r="R19"/>
  <c r="R18"/>
  <c r="R15"/>
  <c r="R14"/>
  <c r="R13"/>
  <c r="R12"/>
  <c r="R11"/>
  <c r="R10"/>
  <c r="R7"/>
  <c r="R6"/>
  <c r="R5"/>
  <c r="R4"/>
  <c r="R2"/>
  <c r="R3"/>
  <c r="S40"/>
  <c r="S39"/>
  <c r="S38"/>
  <c r="S37"/>
  <c r="S36"/>
  <c r="S35"/>
  <c r="S31"/>
  <c r="S30"/>
  <c r="S29"/>
  <c r="S28"/>
  <c r="S27"/>
  <c r="S26"/>
  <c r="S23"/>
  <c r="S22"/>
  <c r="S21"/>
  <c r="S20"/>
  <c r="S19"/>
  <c r="S18"/>
  <c r="S15"/>
  <c r="S14"/>
  <c r="S13"/>
  <c r="S12"/>
  <c r="S11"/>
  <c r="S10"/>
  <c r="S3"/>
  <c r="S4"/>
  <c r="S5"/>
  <c r="S6"/>
  <c r="S7"/>
  <c r="S2"/>
  <c r="C43" i="7"/>
  <c r="C42"/>
  <c r="C41"/>
  <c r="C40"/>
  <c r="C39"/>
  <c r="C38"/>
  <c r="C34"/>
  <c r="C33"/>
  <c r="C32"/>
  <c r="C31"/>
  <c r="C30"/>
  <c r="C29"/>
  <c r="C25"/>
  <c r="C24"/>
  <c r="C23"/>
  <c r="C22"/>
  <c r="C21"/>
  <c r="C20"/>
  <c r="C12"/>
  <c r="C13"/>
  <c r="C14"/>
  <c r="C15"/>
  <c r="C16"/>
  <c r="C11"/>
  <c r="O40" i="5" l="1"/>
  <c r="Q40"/>
  <c r="O39"/>
  <c r="Q39"/>
  <c r="O38"/>
  <c r="Q38"/>
  <c r="O37"/>
  <c r="Q37"/>
  <c r="O36"/>
  <c r="Q36"/>
  <c r="O35"/>
  <c r="Q35"/>
  <c r="O31"/>
  <c r="Q31"/>
  <c r="O30"/>
  <c r="Q30"/>
  <c r="O29"/>
  <c r="Q29"/>
  <c r="O28"/>
  <c r="Q28"/>
  <c r="O27"/>
  <c r="Q27"/>
  <c r="O26"/>
  <c r="Q26"/>
  <c r="O23"/>
  <c r="Q23"/>
  <c r="O22"/>
  <c r="Q22"/>
  <c r="O21"/>
  <c r="Q21"/>
  <c r="O20"/>
  <c r="Q20"/>
  <c r="O19"/>
  <c r="Q19"/>
  <c r="O18"/>
  <c r="Q18"/>
  <c r="Q10"/>
  <c r="Q11"/>
  <c r="Q12"/>
  <c r="Q13"/>
  <c r="Q14"/>
  <c r="Q15"/>
  <c r="Q2"/>
  <c r="Q3"/>
  <c r="Q4"/>
  <c r="Q5"/>
  <c r="Q6"/>
  <c r="Q7"/>
  <c r="O15"/>
  <c r="O14"/>
  <c r="O13"/>
  <c r="O12"/>
  <c r="O11"/>
  <c r="O10"/>
  <c r="O7"/>
  <c r="O6"/>
  <c r="O5"/>
  <c r="O4"/>
  <c r="O3"/>
  <c r="O2"/>
  <c r="B6" i="7" l="1"/>
  <c r="E6" s="1"/>
  <c r="P40" i="8"/>
  <c r="P39"/>
  <c r="P38"/>
  <c r="P37"/>
  <c r="P36"/>
  <c r="P35"/>
  <c r="P31"/>
  <c r="P30"/>
  <c r="P29"/>
  <c r="P28"/>
  <c r="P27"/>
  <c r="P26"/>
  <c r="P23"/>
  <c r="P22"/>
  <c r="P21"/>
  <c r="P20"/>
  <c r="P19"/>
  <c r="P18"/>
  <c r="P15"/>
  <c r="P14"/>
  <c r="P13"/>
  <c r="P12"/>
  <c r="P11"/>
  <c r="P10"/>
  <c r="P7"/>
  <c r="P6"/>
  <c r="P5"/>
  <c r="P4"/>
  <c r="P3"/>
  <c r="P2"/>
  <c r="B7" i="7"/>
  <c r="E7" s="1"/>
  <c r="B5"/>
  <c r="E5" s="1"/>
  <c r="B4"/>
  <c r="E4" s="1"/>
  <c r="B3"/>
  <c r="E3" s="1"/>
  <c r="B2"/>
  <c r="E2" s="1"/>
  <c r="B43"/>
  <c r="E43" s="1"/>
  <c r="B42"/>
  <c r="E42" s="1"/>
  <c r="B41"/>
  <c r="E41" s="1"/>
  <c r="B40"/>
  <c r="E40" s="1"/>
  <c r="B39"/>
  <c r="E39" s="1"/>
  <c r="B38"/>
  <c r="E38" s="1"/>
  <c r="B34"/>
  <c r="E34" s="1"/>
  <c r="B33"/>
  <c r="E33" s="1"/>
  <c r="B32"/>
  <c r="E32" s="1"/>
  <c r="B31"/>
  <c r="E31" s="1"/>
  <c r="B30"/>
  <c r="E30" s="1"/>
  <c r="B29"/>
  <c r="E29" s="1"/>
  <c r="B25"/>
  <c r="E25" s="1"/>
  <c r="B24"/>
  <c r="E24" s="1"/>
  <c r="B23"/>
  <c r="E23" s="1"/>
  <c r="B22"/>
  <c r="E22" s="1"/>
  <c r="B21"/>
  <c r="E21" s="1"/>
  <c r="B20"/>
  <c r="E20" s="1"/>
  <c r="B16"/>
  <c r="E16" s="1"/>
  <c r="B15"/>
  <c r="E15" s="1"/>
  <c r="B14"/>
  <c r="E14" s="1"/>
  <c r="B13"/>
  <c r="E13" s="1"/>
  <c r="B12"/>
  <c r="E12" s="1"/>
  <c r="B11"/>
  <c r="E11" s="1"/>
  <c r="P40" i="5" l="1"/>
  <c r="P39"/>
  <c r="P38"/>
  <c r="P37"/>
  <c r="P36"/>
  <c r="P35"/>
  <c r="P31"/>
  <c r="P30"/>
  <c r="P29"/>
  <c r="P28"/>
  <c r="P27"/>
  <c r="P26"/>
  <c r="P23"/>
  <c r="P22"/>
  <c r="P21"/>
  <c r="P20"/>
  <c r="P19"/>
  <c r="P18"/>
  <c r="P11"/>
  <c r="P12"/>
  <c r="P13"/>
  <c r="P14"/>
  <c r="P15"/>
  <c r="P10"/>
  <c r="B43" i="2"/>
  <c r="D43" s="1"/>
  <c r="F43" s="1"/>
  <c r="B42"/>
  <c r="D42" s="1"/>
  <c r="F42" s="1"/>
  <c r="B41"/>
  <c r="D41" s="1"/>
  <c r="F41" s="1"/>
  <c r="B40"/>
  <c r="D40" s="1"/>
  <c r="F40" s="1"/>
  <c r="B39"/>
  <c r="D39" s="1"/>
  <c r="F39" s="1"/>
  <c r="B38"/>
  <c r="D38" s="1"/>
  <c r="F38" s="1"/>
  <c r="B34"/>
  <c r="D34" s="1"/>
  <c r="F34" s="1"/>
  <c r="B33"/>
  <c r="D33" s="1"/>
  <c r="F33" s="1"/>
  <c r="B32"/>
  <c r="D32" s="1"/>
  <c r="F32" s="1"/>
  <c r="B31"/>
  <c r="D31" s="1"/>
  <c r="F31" s="1"/>
  <c r="B30"/>
  <c r="D30" s="1"/>
  <c r="F30" s="1"/>
  <c r="B29"/>
  <c r="D29" s="1"/>
  <c r="F29" s="1"/>
  <c r="B25"/>
  <c r="D25" s="1"/>
  <c r="F25" s="1"/>
  <c r="B24"/>
  <c r="D24" s="1"/>
  <c r="F24" s="1"/>
  <c r="B23"/>
  <c r="D23" s="1"/>
  <c r="F23" s="1"/>
  <c r="B22"/>
  <c r="D22" s="1"/>
  <c r="F22" s="1"/>
  <c r="B21"/>
  <c r="D21" s="1"/>
  <c r="F21" s="1"/>
  <c r="B20"/>
  <c r="D20" s="1"/>
  <c r="F20" s="1"/>
  <c r="P7" i="5"/>
  <c r="P6"/>
  <c r="P5"/>
  <c r="P4"/>
  <c r="P3"/>
  <c r="P2"/>
  <c r="B16" i="2"/>
  <c r="D16" s="1"/>
  <c r="F16" s="1"/>
  <c r="B15"/>
  <c r="D15" s="1"/>
  <c r="F15" s="1"/>
  <c r="B14"/>
  <c r="D14" s="1"/>
  <c r="F14" s="1"/>
  <c r="B13"/>
  <c r="D13" s="1"/>
  <c r="F13" s="1"/>
  <c r="B12"/>
  <c r="D12" s="1"/>
  <c r="F12" s="1"/>
  <c r="B11"/>
  <c r="D11" s="1"/>
  <c r="F11" s="1"/>
  <c r="G38" i="7" l="1"/>
  <c r="G40"/>
  <c r="G42"/>
  <c r="G39"/>
  <c r="G41"/>
  <c r="G43"/>
  <c r="G29"/>
  <c r="G31"/>
  <c r="G33"/>
  <c r="G30"/>
  <c r="G32"/>
  <c r="G34"/>
  <c r="G20"/>
  <c r="G22"/>
  <c r="G24"/>
  <c r="G21"/>
  <c r="G23"/>
  <c r="G25"/>
  <c r="G11"/>
  <c r="G13"/>
  <c r="G15"/>
  <c r="G12"/>
  <c r="G14"/>
  <c r="G16"/>
  <c r="B3" i="2" l="1"/>
  <c r="D3" s="1"/>
  <c r="F3" s="1"/>
  <c r="G3" i="7"/>
  <c r="B5" i="2"/>
  <c r="D5" s="1"/>
  <c r="F5" s="1"/>
  <c r="G5" i="7"/>
  <c r="B7" i="2"/>
  <c r="D7" s="1"/>
  <c r="F7" s="1"/>
  <c r="G7" i="7"/>
  <c r="B2" i="2"/>
  <c r="D2" s="1"/>
  <c r="F2" s="1"/>
  <c r="G2" i="7"/>
  <c r="B4" i="2"/>
  <c r="D4" s="1"/>
  <c r="F4" s="1"/>
  <c r="G4" i="7"/>
  <c r="B6" i="2"/>
  <c r="D6" s="1"/>
  <c r="F6" s="1"/>
  <c r="G6" i="7"/>
  <c r="M6" i="4"/>
  <c r="M5"/>
  <c r="M4"/>
  <c r="M3"/>
  <c r="O6"/>
  <c r="O5"/>
  <c r="O4"/>
  <c r="O3"/>
  <c r="E8" i="6"/>
  <c r="G7"/>
  <c r="E6"/>
  <c r="E5"/>
  <c r="G5"/>
  <c r="E4"/>
  <c r="G4"/>
  <c r="E3"/>
  <c r="G2"/>
  <c r="E2" l="1"/>
  <c r="E7"/>
  <c r="G3"/>
  <c r="G6"/>
  <c r="G8"/>
</calcChain>
</file>

<file path=xl/comments1.xml><?xml version="1.0" encoding="utf-8"?>
<comments xmlns="http://schemas.openxmlformats.org/spreadsheetml/2006/main">
  <authors>
    <author>malcor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Révision décennale en juillet 2014 : 1/2 année.</t>
        </r>
      </text>
    </comment>
  </commentList>
</comments>
</file>

<file path=xl/comments2.xml><?xml version="1.0" encoding="utf-8"?>
<comments xmlns="http://schemas.openxmlformats.org/spreadsheetml/2006/main">
  <authors>
    <author>malcor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>Révision décennale en juillet 2013 : 1/2 année.</t>
        </r>
      </text>
    </comment>
  </commentList>
</comments>
</file>

<file path=xl/sharedStrings.xml><?xml version="1.0" encoding="utf-8"?>
<sst xmlns="http://schemas.openxmlformats.org/spreadsheetml/2006/main" count="318" uniqueCount="53">
  <si>
    <t>Cout Fixe</t>
  </si>
  <si>
    <t>Investissement</t>
  </si>
  <si>
    <t>EBITDA</t>
  </si>
  <si>
    <t>Marge Nette</t>
  </si>
  <si>
    <t>CO2 (€/t)</t>
  </si>
  <si>
    <t>Base</t>
  </si>
  <si>
    <t>Heure</t>
  </si>
  <si>
    <t>NbDemarrage</t>
  </si>
  <si>
    <t>cout_prod(€/MWh)</t>
  </si>
  <si>
    <t>CoutDemarrage</t>
  </si>
  <si>
    <t>Peak</t>
  </si>
  <si>
    <t>Allocation</t>
  </si>
  <si>
    <t>Lucy</t>
  </si>
  <si>
    <t>Provence 4</t>
  </si>
  <si>
    <t>Hornaing</t>
  </si>
  <si>
    <t>EH5</t>
  </si>
  <si>
    <t>MWH</t>
  </si>
  <si>
    <t>Co2(t)</t>
  </si>
  <si>
    <t>Vente_elec(€)</t>
  </si>
  <si>
    <t>Autres_variables(€)</t>
  </si>
  <si>
    <t>Combustible(€)</t>
  </si>
  <si>
    <t>Co2(€)</t>
  </si>
  <si>
    <t>Marge_sans_CO2(€)</t>
  </si>
  <si>
    <t>Charbon Lucy (€/t)</t>
  </si>
  <si>
    <t>Charbon Provence 4 (€/t)</t>
  </si>
  <si>
    <t>Charbon Hornaing (€/t)</t>
  </si>
  <si>
    <t>Charbon EH5(€/t)</t>
  </si>
  <si>
    <t>Heures réelles</t>
  </si>
  <si>
    <t>Production (MWh)</t>
  </si>
  <si>
    <t>PCN (MW)</t>
  </si>
  <si>
    <t>Heures équivalent PCN</t>
  </si>
  <si>
    <t>Pcmax (MW)</t>
  </si>
  <si>
    <t>Heures équivalent Pcmax</t>
  </si>
  <si>
    <t>Marge Brute</t>
  </si>
  <si>
    <t>CDS (Peak)</t>
  </si>
  <si>
    <t>Marge de contribution Marché (k€)</t>
  </si>
  <si>
    <t>Scenario 0</t>
  </si>
  <si>
    <t>Amortissement</t>
  </si>
  <si>
    <t>EBIT</t>
  </si>
  <si>
    <t>API (€/t)</t>
  </si>
  <si>
    <t>Scenario +10%</t>
  </si>
  <si>
    <t>Scenario +5%</t>
  </si>
  <si>
    <t>Scenario -5%</t>
  </si>
  <si>
    <t>Scenario -10%</t>
  </si>
  <si>
    <t>Défaillance</t>
  </si>
  <si>
    <t>Energie défaillante</t>
  </si>
  <si>
    <t>Surcout achat defaillance</t>
  </si>
  <si>
    <t>Surcout</t>
  </si>
  <si>
    <t>Indemnités EdF + Reprise de subvention</t>
  </si>
  <si>
    <t>Co2 (€/Mwh)</t>
  </si>
  <si>
    <t>EH4</t>
  </si>
  <si>
    <t>EH6</t>
  </si>
  <si>
    <t>Provence 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</si>
</sst>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_-;\-* #,##0.0_-;_-* &quot;-&quot;??_-;_-@_-"/>
    <numFmt numFmtId="167" formatCode="d/m/yy"/>
    <numFmt numFmtId="168" formatCode="_-* #,##0.0_-;\-* #,##0.0_-;_-* &quot;-&quot;?_-;_-@_-"/>
  </numFmts>
  <fonts count="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8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167" fontId="0" fillId="0" borderId="1" xfId="0" applyNumberFormat="1" applyBorder="1"/>
    <xf numFmtId="167" fontId="0" fillId="0" borderId="4" xfId="0" applyNumberFormat="1" applyBorder="1"/>
    <xf numFmtId="164" fontId="0" fillId="0" borderId="5" xfId="1" applyNumberFormat="1" applyFont="1" applyBorder="1"/>
    <xf numFmtId="43" fontId="0" fillId="0" borderId="0" xfId="1" applyNumberFormat="1" applyFont="1"/>
    <xf numFmtId="164" fontId="5" fillId="0" borderId="5" xfId="1" applyNumberFormat="1" applyFont="1" applyBorder="1" applyAlignment="1">
      <alignment wrapText="1"/>
    </xf>
    <xf numFmtId="0" fontId="0" fillId="0" borderId="6" xfId="0" applyBorder="1"/>
    <xf numFmtId="0" fontId="0" fillId="0" borderId="7" xfId="0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0" fontId="0" fillId="0" borderId="8" xfId="0" applyBorder="1"/>
    <xf numFmtId="164" fontId="0" fillId="4" borderId="8" xfId="1" applyNumberFormat="1" applyFont="1" applyFill="1" applyBorder="1"/>
    <xf numFmtId="164" fontId="0" fillId="0" borderId="0" xfId="1" applyNumberFormat="1" applyFont="1" applyBorder="1"/>
    <xf numFmtId="164" fontId="0" fillId="0" borderId="8" xfId="1" applyNumberFormat="1" applyFont="1" applyBorder="1"/>
    <xf numFmtId="0" fontId="0" fillId="0" borderId="0" xfId="0" applyBorder="1"/>
    <xf numFmtId="0" fontId="0" fillId="0" borderId="9" xfId="0" applyBorder="1"/>
    <xf numFmtId="164" fontId="0" fillId="0" borderId="9" xfId="1" applyNumberFormat="1" applyFont="1" applyBorder="1"/>
    <xf numFmtId="164" fontId="0" fillId="0" borderId="10" xfId="1" applyNumberFormat="1" applyFont="1" applyBorder="1"/>
    <xf numFmtId="0" fontId="0" fillId="0" borderId="10" xfId="0" applyBorder="1"/>
    <xf numFmtId="0" fontId="0" fillId="0" borderId="11" xfId="1" applyNumberFormat="1" applyFont="1" applyBorder="1"/>
    <xf numFmtId="166" fontId="0" fillId="0" borderId="12" xfId="1" applyNumberFormat="1" applyFont="1" applyBorder="1"/>
    <xf numFmtId="164" fontId="0" fillId="0" borderId="12" xfId="1" applyNumberFormat="1" applyFont="1" applyBorder="1"/>
    <xf numFmtId="164" fontId="0" fillId="0" borderId="13" xfId="1" applyNumberFormat="1" applyFont="1" applyBorder="1"/>
    <xf numFmtId="0" fontId="0" fillId="0" borderId="14" xfId="1" applyNumberFormat="1" applyFont="1" applyBorder="1"/>
    <xf numFmtId="166" fontId="0" fillId="0" borderId="0" xfId="1" applyNumberFormat="1" applyFont="1" applyBorder="1"/>
    <xf numFmtId="164" fontId="0" fillId="0" borderId="15" xfId="1" applyNumberFormat="1" applyFont="1" applyBorder="1"/>
    <xf numFmtId="0" fontId="0" fillId="0" borderId="16" xfId="1" applyNumberFormat="1" applyFont="1" applyBorder="1"/>
    <xf numFmtId="166" fontId="0" fillId="0" borderId="17" xfId="1" applyNumberFormat="1" applyFont="1" applyBorder="1"/>
    <xf numFmtId="0" fontId="0" fillId="0" borderId="19" xfId="0" applyBorder="1"/>
    <xf numFmtId="0" fontId="5" fillId="0" borderId="20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164" fontId="5" fillId="0" borderId="19" xfId="1" applyNumberFormat="1" applyFont="1" applyBorder="1" applyAlignment="1">
      <alignment horizontal="right"/>
    </xf>
    <xf numFmtId="164" fontId="0" fillId="0" borderId="11" xfId="1" applyNumberFormat="1" applyFont="1" applyBorder="1"/>
    <xf numFmtId="164" fontId="0" fillId="0" borderId="14" xfId="1" applyNumberFormat="1" applyFont="1" applyBorder="1"/>
    <xf numFmtId="0" fontId="0" fillId="5" borderId="0" xfId="0" applyFill="1"/>
    <xf numFmtId="164" fontId="0" fillId="5" borderId="0" xfId="1" applyNumberFormat="1" applyFont="1" applyFill="1"/>
    <xf numFmtId="166" fontId="0" fillId="5" borderId="0" xfId="1" applyNumberFormat="1" applyFont="1" applyFill="1"/>
    <xf numFmtId="165" fontId="0" fillId="5" borderId="0" xfId="2" applyNumberFormat="1" applyFont="1" applyFill="1"/>
    <xf numFmtId="0" fontId="0" fillId="0" borderId="14" xfId="0" applyNumberFormat="1" applyBorder="1"/>
    <xf numFmtId="0" fontId="0" fillId="0" borderId="0" xfId="2" applyNumberFormat="1" applyFont="1" applyBorder="1"/>
    <xf numFmtId="0" fontId="0" fillId="0" borderId="0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2" applyNumberFormat="1" applyFont="1" applyBorder="1"/>
    <xf numFmtId="0" fontId="0" fillId="0" borderId="17" xfId="0" applyNumberFormat="1" applyBorder="1"/>
    <xf numFmtId="0" fontId="0" fillId="0" borderId="18" xfId="0" applyNumberFormat="1" applyBorder="1"/>
    <xf numFmtId="0" fontId="4" fillId="0" borderId="0" xfId="0" applyFont="1"/>
    <xf numFmtId="166" fontId="0" fillId="0" borderId="0" xfId="0" applyNumberFormat="1"/>
    <xf numFmtId="43" fontId="0" fillId="0" borderId="0" xfId="0" applyNumberFormat="1"/>
    <xf numFmtId="0" fontId="4" fillId="0" borderId="2" xfId="0" applyFont="1" applyBorder="1" applyAlignment="1">
      <alignment horizontal="center" vertical="center"/>
    </xf>
    <xf numFmtId="9" fontId="0" fillId="0" borderId="0" xfId="0" applyNumberFormat="1"/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164" fontId="4" fillId="0" borderId="22" xfId="1" applyNumberFormat="1" applyFont="1" applyBorder="1" applyAlignment="1">
      <alignment horizontal="center" vertical="center"/>
    </xf>
    <xf numFmtId="164" fontId="2" fillId="3" borderId="22" xfId="1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0" fillId="0" borderId="21" xfId="0" applyBorder="1" applyAlignment="1">
      <alignment horizontal="centerContinuous"/>
    </xf>
    <xf numFmtId="164" fontId="1" fillId="0" borderId="5" xfId="1" applyNumberFormat="1" applyFont="1" applyBorder="1"/>
    <xf numFmtId="0" fontId="1" fillId="0" borderId="0" xfId="0" applyFont="1"/>
    <xf numFmtId="9" fontId="0" fillId="0" borderId="12" xfId="2" applyFont="1" applyBorder="1"/>
    <xf numFmtId="9" fontId="0" fillId="0" borderId="0" xfId="2" applyFont="1" applyBorder="1"/>
    <xf numFmtId="9" fontId="0" fillId="0" borderId="17" xfId="2" applyFont="1" applyBorder="1"/>
    <xf numFmtId="10" fontId="0" fillId="0" borderId="11" xfId="2" applyNumberFormat="1" applyFont="1" applyBorder="1"/>
    <xf numFmtId="10" fontId="0" fillId="0" borderId="14" xfId="2" applyNumberFormat="1" applyFont="1" applyBorder="1"/>
    <xf numFmtId="10" fontId="0" fillId="0" borderId="16" xfId="2" applyNumberFormat="1" applyFont="1" applyBorder="1"/>
    <xf numFmtId="10" fontId="0" fillId="0" borderId="12" xfId="2" applyNumberFormat="1" applyFont="1" applyBorder="1"/>
    <xf numFmtId="10" fontId="0" fillId="0" borderId="13" xfId="2" applyNumberFormat="1" applyFont="1" applyBorder="1"/>
    <xf numFmtId="10" fontId="0" fillId="0" borderId="0" xfId="2" applyNumberFormat="1" applyFont="1" applyBorder="1"/>
    <xf numFmtId="10" fontId="0" fillId="0" borderId="15" xfId="2" applyNumberFormat="1" applyFont="1" applyBorder="1"/>
    <xf numFmtId="10" fontId="0" fillId="0" borderId="17" xfId="2" applyNumberFormat="1" applyFont="1" applyBorder="1"/>
    <xf numFmtId="10" fontId="0" fillId="0" borderId="18" xfId="2" applyNumberFormat="1" applyFont="1" applyBorder="1"/>
    <xf numFmtId="168" fontId="0" fillId="0" borderId="0" xfId="0" applyNumberFormat="1"/>
    <xf numFmtId="164" fontId="0" fillId="0" borderId="0" xfId="1" applyNumberFormat="1" applyFont="1"/>
    <xf numFmtId="164" fontId="4" fillId="0" borderId="4" xfId="1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166" fontId="0" fillId="0" borderId="0" xfId="1" applyNumberFormat="1" applyFont="1"/>
    <xf numFmtId="0" fontId="0" fillId="0" borderId="19" xfId="0" applyBorder="1" applyAlignment="1">
      <alignment wrapText="1"/>
    </xf>
    <xf numFmtId="165" fontId="6" fillId="6" borderId="28" xfId="2" applyNumberFormat="1" applyFont="1" applyFill="1" applyBorder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Marge de contribution Marché (k€)</a:t>
            </a:r>
          </a:p>
        </c:rich>
      </c:tx>
    </c:title>
    <c:plotArea>
      <c:layout>
        <c:manualLayout>
          <c:layoutTarget val="inner"/>
          <c:xMode val="edge"/>
          <c:yMode val="edge"/>
          <c:x val="0.11936686485617869"/>
          <c:y val="0.19480351414406533"/>
          <c:w val="0.84156284035924056"/>
          <c:h val="0.65482210557013754"/>
        </c:manualLayout>
      </c:layout>
      <c:lineChart>
        <c:grouping val="standard"/>
        <c:ser>
          <c:idx val="0"/>
          <c:order val="0"/>
          <c:tx>
            <c:strRef>
              <c:f>Lucy!$A$10</c:f>
              <c:strCache>
                <c:ptCount val="1"/>
                <c:pt idx="0">
                  <c:v>Scenario +10%</c:v>
                </c:pt>
              </c:strCache>
            </c:strRef>
          </c:tx>
          <c:marker>
            <c:symbol val="none"/>
          </c:marker>
          <c:val>
            <c:numRef>
              <c:f>Lucy!$B$11:$B$16</c:f>
              <c:numCache>
                <c:formatCode>_-* #,##0_-;\-* #,##0_-;_-* "-"??_-;_-@_-</c:formatCode>
                <c:ptCount val="6"/>
                <c:pt idx="0">
                  <c:v>27266.9904876</c:v>
                </c:pt>
                <c:pt idx="1">
                  <c:v>16020.610035999998</c:v>
                </c:pt>
                <c:pt idx="2">
                  <c:v>13272.421542800001</c:v>
                </c:pt>
                <c:pt idx="3">
                  <c:v>13715.455188800001</c:v>
                </c:pt>
                <c:pt idx="4">
                  <c:v>15376.133657300001</c:v>
                </c:pt>
                <c:pt idx="5">
                  <c:v>8600.5230756499986</c:v>
                </c:pt>
              </c:numCache>
            </c:numRef>
          </c:val>
        </c:ser>
        <c:ser>
          <c:idx val="2"/>
          <c:order val="1"/>
          <c:tx>
            <c:strRef>
              <c:f>Lucy!$A$19</c:f>
              <c:strCache>
                <c:ptCount val="1"/>
                <c:pt idx="0">
                  <c:v>Scenario +5%</c:v>
                </c:pt>
              </c:strCache>
            </c:strRef>
          </c:tx>
          <c:marker>
            <c:symbol val="none"/>
          </c:marker>
          <c:val>
            <c:numRef>
              <c:f>Lucy!$B$20:$B$25</c:f>
              <c:numCache>
                <c:formatCode>_-* #,##0_-;\-* #,##0_-;_-* "-"??_-;_-@_-</c:formatCode>
                <c:ptCount val="6"/>
                <c:pt idx="0">
                  <c:v>23570.6584644</c:v>
                </c:pt>
                <c:pt idx="1">
                  <c:v>13482.7050064</c:v>
                </c:pt>
                <c:pt idx="2">
                  <c:v>10664.284868400002</c:v>
                </c:pt>
                <c:pt idx="3">
                  <c:v>10774.7975508</c:v>
                </c:pt>
                <c:pt idx="4">
                  <c:v>12663.38367015</c:v>
                </c:pt>
                <c:pt idx="5">
                  <c:v>7107.9256871500002</c:v>
                </c:pt>
              </c:numCache>
            </c:numRef>
          </c:val>
        </c:ser>
        <c:ser>
          <c:idx val="1"/>
          <c:order val="2"/>
          <c:tx>
            <c:strRef>
              <c:f>Lucy!$A$1</c:f>
              <c:strCache>
                <c:ptCount val="1"/>
                <c:pt idx="0">
                  <c:v>Scenario 0</c:v>
                </c:pt>
              </c:strCache>
            </c:strRef>
          </c:tx>
          <c:marker>
            <c:symbol val="none"/>
          </c:marker>
          <c:cat>
            <c:numRef>
              <c:f>Lucy!$A$2:$A$7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Lucy!$B$2:$B$7</c:f>
              <c:numCache>
                <c:formatCode>_-* #,##0_-;\-* #,##0_-;_-* "-"??_-;_-@_-</c:formatCode>
                <c:ptCount val="6"/>
                <c:pt idx="0">
                  <c:v>20036.2566272</c:v>
                </c:pt>
                <c:pt idx="1">
                  <c:v>11492.101279999999</c:v>
                </c:pt>
                <c:pt idx="2">
                  <c:v>8457.1099195999996</c:v>
                </c:pt>
                <c:pt idx="3">
                  <c:v>8086.9478848000008</c:v>
                </c:pt>
                <c:pt idx="4">
                  <c:v>10193.672131099998</c:v>
                </c:pt>
                <c:pt idx="5">
                  <c:v>5772.101153999999</c:v>
                </c:pt>
              </c:numCache>
            </c:numRef>
          </c:val>
        </c:ser>
        <c:ser>
          <c:idx val="3"/>
          <c:order val="3"/>
          <c:tx>
            <c:strRef>
              <c:f>Lucy!$A$28</c:f>
              <c:strCache>
                <c:ptCount val="1"/>
                <c:pt idx="0">
                  <c:v>Scenario -5%</c:v>
                </c:pt>
              </c:strCache>
            </c:strRef>
          </c:tx>
          <c:marker>
            <c:symbol val="none"/>
          </c:marker>
          <c:val>
            <c:numRef>
              <c:f>Lucy!$B$29:$B$34</c:f>
              <c:numCache>
                <c:formatCode>_-* #,##0_-;\-* #,##0_-;_-* "-"??_-;_-@_-</c:formatCode>
                <c:ptCount val="6"/>
                <c:pt idx="0">
                  <c:v>16874.42856</c:v>
                </c:pt>
                <c:pt idx="1">
                  <c:v>9826.4912292000008</c:v>
                </c:pt>
                <c:pt idx="2">
                  <c:v>6758.5469620000003</c:v>
                </c:pt>
                <c:pt idx="3">
                  <c:v>5950.4772660000008</c:v>
                </c:pt>
                <c:pt idx="4">
                  <c:v>7955.5646757500008</c:v>
                </c:pt>
                <c:pt idx="5">
                  <c:v>4553.9953447999997</c:v>
                </c:pt>
              </c:numCache>
            </c:numRef>
          </c:val>
        </c:ser>
        <c:ser>
          <c:idx val="4"/>
          <c:order val="4"/>
          <c:tx>
            <c:strRef>
              <c:f>Lucy!$A$37</c:f>
              <c:strCache>
                <c:ptCount val="1"/>
                <c:pt idx="0">
                  <c:v>Scenario -10%</c:v>
                </c:pt>
              </c:strCache>
            </c:strRef>
          </c:tx>
          <c:marker>
            <c:symbol val="none"/>
          </c:marker>
          <c:val>
            <c:numRef>
              <c:f>Lucy!$B$38:$B$43</c:f>
              <c:numCache>
                <c:formatCode>_-* #,##0_-;\-* #,##0_-;_-* "-"??_-;_-@_-</c:formatCode>
                <c:ptCount val="6"/>
                <c:pt idx="0">
                  <c:v>14184.291080000001</c:v>
                </c:pt>
                <c:pt idx="1">
                  <c:v>8534.1450599999989</c:v>
                </c:pt>
                <c:pt idx="2">
                  <c:v>5461.7070236</c:v>
                </c:pt>
                <c:pt idx="3">
                  <c:v>4380.5992608000006</c:v>
                </c:pt>
                <c:pt idx="4">
                  <c:v>5911.1826693000003</c:v>
                </c:pt>
                <c:pt idx="5">
                  <c:v>3453.2396187500003</c:v>
                </c:pt>
              </c:numCache>
            </c:numRef>
          </c:val>
        </c:ser>
        <c:marker val="1"/>
        <c:axId val="95702400"/>
        <c:axId val="95728768"/>
      </c:lineChart>
      <c:catAx>
        <c:axId val="95702400"/>
        <c:scaling>
          <c:orientation val="minMax"/>
        </c:scaling>
        <c:axPos val="b"/>
        <c:numFmt formatCode="General" sourceLinked="1"/>
        <c:tickLblPos val="nextTo"/>
        <c:crossAx val="95728768"/>
        <c:crosses val="autoZero"/>
        <c:auto val="1"/>
        <c:lblAlgn val="ctr"/>
        <c:lblOffset val="100"/>
      </c:catAx>
      <c:valAx>
        <c:axId val="95728768"/>
        <c:scaling>
          <c:orientation val="minMax"/>
        </c:scaling>
        <c:axPos val="l"/>
        <c:majorGridlines/>
        <c:numFmt formatCode="_-* #,##0_-;\-* #,##0_-;_-* &quot;-&quot;??_-;_-@_-" sourceLinked="1"/>
        <c:tickLblPos val="nextTo"/>
        <c:crossAx val="95702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228461966398334"/>
          <c:y val="8.3936317170880126E-2"/>
          <c:w val="0.16852544545179612"/>
          <c:h val="0.30006389004006095"/>
        </c:manualLayout>
      </c:layout>
      <c:spPr>
        <a:solidFill>
          <a:sysClr val="window" lastClr="FFFFFF"/>
        </a:solidFill>
      </c:sp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Clean Dark Spread (€/MWh)</a:t>
            </a:r>
          </a:p>
        </c:rich>
      </c:tx>
    </c:title>
    <c:plotArea>
      <c:layout>
        <c:manualLayout>
          <c:layoutTarget val="inner"/>
          <c:xMode val="edge"/>
          <c:yMode val="edge"/>
          <c:x val="0.11936686485617869"/>
          <c:y val="0.19480351414406533"/>
          <c:w val="0.84156284035924056"/>
          <c:h val="0.65482210557013765"/>
        </c:manualLayout>
      </c:layout>
      <c:lineChart>
        <c:grouping val="standard"/>
        <c:ser>
          <c:idx val="1"/>
          <c:order val="0"/>
          <c:tx>
            <c:strRef>
              <c:f>Lucy!$A$1</c:f>
              <c:strCache>
                <c:ptCount val="1"/>
                <c:pt idx="0">
                  <c:v>Scenario 0</c:v>
                </c:pt>
              </c:strCache>
            </c:strRef>
          </c:tx>
          <c:marker>
            <c:symbol val="none"/>
          </c:marker>
          <c:cat>
            <c:numRef>
              <c:f>Lucy!$A$2:$A$7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Data_Lucy!$P$2:$P$7</c:f>
              <c:numCache>
                <c:formatCode>_-* #,##0.0_-;\-* #,##0.0_-;_-* "-"??_-;_-@_-</c:formatCode>
                <c:ptCount val="6"/>
                <c:pt idx="0">
                  <c:v>34.261658381599887</c:v>
                </c:pt>
                <c:pt idx="1">
                  <c:v>26.159999999999862</c:v>
                </c:pt>
                <c:pt idx="2">
                  <c:v>26.460000000000569</c:v>
                </c:pt>
                <c:pt idx="3">
                  <c:v>29.49000000000013</c:v>
                </c:pt>
                <c:pt idx="4">
                  <c:v>30.48400000000013</c:v>
                </c:pt>
                <c:pt idx="5">
                  <c:v>31.637688000000132</c:v>
                </c:pt>
              </c:numCache>
            </c:numRef>
          </c:val>
        </c:ser>
        <c:ser>
          <c:idx val="0"/>
          <c:order val="1"/>
          <c:tx>
            <c:strRef>
              <c:f>Lucy!$A$10</c:f>
              <c:strCache>
                <c:ptCount val="1"/>
                <c:pt idx="0">
                  <c:v>Scenario +10%</c:v>
                </c:pt>
              </c:strCache>
            </c:strRef>
          </c:tx>
          <c:marker>
            <c:symbol val="none"/>
          </c:marker>
          <c:val>
            <c:numRef>
              <c:f>Data_Lucy!$P$10:$P$15</c:f>
              <c:numCache>
                <c:formatCode>_-* #,##0.0_-;\-* #,##0.0_-;_-* "-"??_-;_-@_-</c:formatCode>
                <c:ptCount val="6"/>
                <c:pt idx="0">
                  <c:v>41.323824219759885</c:v>
                </c:pt>
                <c:pt idx="1">
                  <c:v>33.652999999999849</c:v>
                </c:pt>
                <c:pt idx="2">
                  <c:v>34.200000000000628</c:v>
                </c:pt>
                <c:pt idx="3">
                  <c:v>37.540000000000148</c:v>
                </c:pt>
                <c:pt idx="4">
                  <c:v>38.954400000000156</c:v>
                </c:pt>
                <c:pt idx="5">
                  <c:v>40.272456800000157</c:v>
                </c:pt>
              </c:numCache>
            </c:numRef>
          </c:val>
        </c:ser>
        <c:ser>
          <c:idx val="2"/>
          <c:order val="2"/>
          <c:tx>
            <c:strRef>
              <c:f>Lucy!$A$19</c:f>
              <c:strCache>
                <c:ptCount val="1"/>
                <c:pt idx="0">
                  <c:v>Scenario +5%</c:v>
                </c:pt>
              </c:strCache>
            </c:strRef>
          </c:tx>
          <c:marker>
            <c:symbol val="none"/>
          </c:marker>
          <c:val>
            <c:numRef>
              <c:f>Data_Lucy!$P$18:$P$23</c:f>
              <c:numCache>
                <c:formatCode>_-* #,##0.0_-;\-* #,##0.0_-;_-* "-"??_-;_-@_-</c:formatCode>
                <c:ptCount val="6"/>
                <c:pt idx="0">
                  <c:v>37.807741300679886</c:v>
                </c:pt>
                <c:pt idx="1">
                  <c:v>29.906499999999859</c:v>
                </c:pt>
                <c:pt idx="2">
                  <c:v>30.345000000000596</c:v>
                </c:pt>
                <c:pt idx="3">
                  <c:v>33.500000000000135</c:v>
                </c:pt>
                <c:pt idx="4">
                  <c:v>34.724200000000131</c:v>
                </c:pt>
                <c:pt idx="5">
                  <c:v>35.94007240000014</c:v>
                </c:pt>
              </c:numCache>
            </c:numRef>
          </c:val>
        </c:ser>
        <c:ser>
          <c:idx val="3"/>
          <c:order val="3"/>
          <c:tx>
            <c:strRef>
              <c:f>Lucy!$A$28</c:f>
              <c:strCache>
                <c:ptCount val="1"/>
                <c:pt idx="0">
                  <c:v>Scenario -5%</c:v>
                </c:pt>
              </c:strCache>
            </c:strRef>
          </c:tx>
          <c:marker>
            <c:symbol val="none"/>
          </c:marker>
          <c:val>
            <c:numRef>
              <c:f>Data_Lucy!$P$26:$P$31</c:f>
              <c:numCache>
                <c:formatCode>_-* #,##0.0_-;\-* #,##0.0_-;_-* "-"??_-;_-@_-</c:formatCode>
                <c:ptCount val="6"/>
                <c:pt idx="0">
                  <c:v>30.655575462519884</c:v>
                </c:pt>
                <c:pt idx="1">
                  <c:v>22.313499999999856</c:v>
                </c:pt>
                <c:pt idx="2">
                  <c:v>22.595000000000539</c:v>
                </c:pt>
                <c:pt idx="3">
                  <c:v>25.370000000000118</c:v>
                </c:pt>
                <c:pt idx="4">
                  <c:v>26.253800000000126</c:v>
                </c:pt>
                <c:pt idx="5">
                  <c:v>27.325303600000119</c:v>
                </c:pt>
              </c:numCache>
            </c:numRef>
          </c:val>
        </c:ser>
        <c:ser>
          <c:idx val="4"/>
          <c:order val="4"/>
          <c:tx>
            <c:strRef>
              <c:f>Lucy!$A$37</c:f>
              <c:strCache>
                <c:ptCount val="1"/>
                <c:pt idx="0">
                  <c:v>Scenario -10%</c:v>
                </c:pt>
              </c:strCache>
            </c:strRef>
          </c:tx>
          <c:marker>
            <c:symbol val="none"/>
          </c:marker>
          <c:val>
            <c:numRef>
              <c:f>Data_Lucy!$P$35:$P$40</c:f>
              <c:numCache>
                <c:formatCode>_-* #,##0.0_-;\-* #,##0.0_-;_-* "-"??_-;_-@_-</c:formatCode>
                <c:ptCount val="6"/>
                <c:pt idx="0">
                  <c:v>27.119492543439897</c:v>
                </c:pt>
                <c:pt idx="1">
                  <c:v>18.696999999999868</c:v>
                </c:pt>
                <c:pt idx="2">
                  <c:v>18.780000000000513</c:v>
                </c:pt>
                <c:pt idx="3">
                  <c:v>21.310000000000109</c:v>
                </c:pt>
                <c:pt idx="4">
                  <c:v>22.033600000000121</c:v>
                </c:pt>
                <c:pt idx="5">
                  <c:v>23.002919200000122</c:v>
                </c:pt>
              </c:numCache>
            </c:numRef>
          </c:val>
        </c:ser>
        <c:marker val="1"/>
        <c:axId val="96048640"/>
        <c:axId val="96050176"/>
      </c:lineChart>
      <c:catAx>
        <c:axId val="96048640"/>
        <c:scaling>
          <c:orientation val="minMax"/>
        </c:scaling>
        <c:axPos val="b"/>
        <c:numFmt formatCode="General" sourceLinked="1"/>
        <c:tickLblPos val="nextTo"/>
        <c:crossAx val="96050176"/>
        <c:crosses val="autoZero"/>
        <c:auto val="1"/>
        <c:lblAlgn val="ctr"/>
        <c:lblOffset val="100"/>
      </c:catAx>
      <c:valAx>
        <c:axId val="96050176"/>
        <c:scaling>
          <c:orientation val="minMax"/>
          <c:min val="10"/>
        </c:scaling>
        <c:axPos val="l"/>
        <c:majorGridlines/>
        <c:numFmt formatCode="_-* #,##0.0_-;\-* #,##0.0_-;_-* &quot;-&quot;??_-;_-@_-" sourceLinked="1"/>
        <c:tickLblPos val="nextTo"/>
        <c:crossAx val="96048640"/>
        <c:crosses val="autoZero"/>
        <c:crossBetween val="between"/>
        <c:majorUnit val="10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Marge de contribution Marché (k€)</a:t>
            </a:r>
          </a:p>
        </c:rich>
      </c:tx>
    </c:title>
    <c:plotArea>
      <c:layout>
        <c:manualLayout>
          <c:layoutTarget val="inner"/>
          <c:xMode val="edge"/>
          <c:yMode val="edge"/>
          <c:x val="0.11579220538695194"/>
          <c:y val="0.19480346774834964"/>
          <c:w val="0.84156284035924056"/>
          <c:h val="0.65482210557013765"/>
        </c:manualLayout>
      </c:layout>
      <c:lineChart>
        <c:grouping val="standard"/>
        <c:ser>
          <c:idx val="0"/>
          <c:order val="0"/>
          <c:tx>
            <c:strRef>
              <c:f>Provence_4!$A$10</c:f>
              <c:strCache>
                <c:ptCount val="1"/>
                <c:pt idx="0">
                  <c:v>Scenario +10%</c:v>
                </c:pt>
              </c:strCache>
            </c:strRef>
          </c:tx>
          <c:marker>
            <c:symbol val="none"/>
          </c:marker>
          <c:val>
            <c:numRef>
              <c:f>Provence_4!$B$11:$B$16</c:f>
              <c:numCache>
                <c:formatCode>_-* #,##0_-;\-* #,##0_-;_-* "-"??_-;_-@_-</c:formatCode>
                <c:ptCount val="6"/>
                <c:pt idx="0">
                  <c:v>18715.874381069698</c:v>
                </c:pt>
                <c:pt idx="1">
                  <c:v>15715.220674000002</c:v>
                </c:pt>
                <c:pt idx="2">
                  <c:v>13426.237193672809</c:v>
                </c:pt>
                <c:pt idx="3">
                  <c:v>14115.418356803943</c:v>
                </c:pt>
                <c:pt idx="4">
                  <c:v>16625.673724</c:v>
                </c:pt>
                <c:pt idx="5">
                  <c:v>16198.004542500001</c:v>
                </c:pt>
              </c:numCache>
            </c:numRef>
          </c:val>
        </c:ser>
        <c:ser>
          <c:idx val="2"/>
          <c:order val="1"/>
          <c:tx>
            <c:strRef>
              <c:f>Provence_4!$A$19</c:f>
              <c:strCache>
                <c:ptCount val="1"/>
                <c:pt idx="0">
                  <c:v>Scenario +5%</c:v>
                </c:pt>
              </c:strCache>
            </c:strRef>
          </c:tx>
          <c:marker>
            <c:symbol val="none"/>
          </c:marker>
          <c:val>
            <c:numRef>
              <c:f>Provence_4!$B$20:$B$25</c:f>
              <c:numCache>
                <c:formatCode>_-* #,##0_-;\-* #,##0_-;_-* "-"??_-;_-@_-</c:formatCode>
                <c:ptCount val="6"/>
                <c:pt idx="0">
                  <c:v>16576.786687191092</c:v>
                </c:pt>
                <c:pt idx="1">
                  <c:v>14780.137346000001</c:v>
                </c:pt>
                <c:pt idx="2">
                  <c:v>11231.134076703052</c:v>
                </c:pt>
                <c:pt idx="3">
                  <c:v>11063.991937219806</c:v>
                </c:pt>
                <c:pt idx="4">
                  <c:v>14044.577333499999</c:v>
                </c:pt>
                <c:pt idx="5">
                  <c:v>13244.148451500003</c:v>
                </c:pt>
              </c:numCache>
            </c:numRef>
          </c:val>
        </c:ser>
        <c:ser>
          <c:idx val="1"/>
          <c:order val="2"/>
          <c:tx>
            <c:strRef>
              <c:f>Provence_4!$A$1</c:f>
              <c:strCache>
                <c:ptCount val="1"/>
                <c:pt idx="0">
                  <c:v>Scenario 0</c:v>
                </c:pt>
              </c:strCache>
            </c:strRef>
          </c:tx>
          <c:marker>
            <c:symbol val="none"/>
          </c:marker>
          <c:cat>
            <c:numRef>
              <c:f>Lucy!$A$2:$A$7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Provence_4!$B$2:$B$7</c:f>
              <c:numCache>
                <c:formatCode>_-* #,##0_-;\-* #,##0_-;_-* "-"??_-;_-@_-</c:formatCode>
                <c:ptCount val="6"/>
                <c:pt idx="0">
                  <c:v>14742.437778901301</c:v>
                </c:pt>
                <c:pt idx="1">
                  <c:v>12779.5942</c:v>
                </c:pt>
                <c:pt idx="2">
                  <c:v>9650.4466492895535</c:v>
                </c:pt>
                <c:pt idx="3">
                  <c:v>9031.1756496928301</c:v>
                </c:pt>
                <c:pt idx="4">
                  <c:v>11912.543108</c:v>
                </c:pt>
                <c:pt idx="5">
                  <c:v>10742.185723999999</c:v>
                </c:pt>
              </c:numCache>
            </c:numRef>
          </c:val>
        </c:ser>
        <c:ser>
          <c:idx val="3"/>
          <c:order val="3"/>
          <c:tx>
            <c:strRef>
              <c:f>Provence_4!$A$28</c:f>
              <c:strCache>
                <c:ptCount val="1"/>
                <c:pt idx="0">
                  <c:v>Scenario -5%</c:v>
                </c:pt>
              </c:strCache>
            </c:strRef>
          </c:tx>
          <c:marker>
            <c:symbol val="none"/>
          </c:marker>
          <c:val>
            <c:numRef>
              <c:f>Provence_4!$B$29:$B$34</c:f>
              <c:numCache>
                <c:formatCode>_-* #,##0_-;\-* #,##0_-;_-* "-"??_-;_-@_-</c:formatCode>
                <c:ptCount val="6"/>
                <c:pt idx="0">
                  <c:v>12991.78974348896</c:v>
                </c:pt>
                <c:pt idx="1">
                  <c:v>11434.433551999999</c:v>
                </c:pt>
                <c:pt idx="2">
                  <c:v>7918.339189010333</c:v>
                </c:pt>
                <c:pt idx="3">
                  <c:v>7187.7876012836741</c:v>
                </c:pt>
                <c:pt idx="4">
                  <c:v>9490.6664800000017</c:v>
                </c:pt>
                <c:pt idx="5">
                  <c:v>8607.7975795000002</c:v>
                </c:pt>
              </c:numCache>
            </c:numRef>
          </c:val>
        </c:ser>
        <c:ser>
          <c:idx val="4"/>
          <c:order val="4"/>
          <c:tx>
            <c:strRef>
              <c:f>Provence_4!$A$37</c:f>
              <c:strCache>
                <c:ptCount val="1"/>
                <c:pt idx="0">
                  <c:v>Scenario -10%</c:v>
                </c:pt>
              </c:strCache>
            </c:strRef>
          </c:tx>
          <c:marker>
            <c:symbol val="none"/>
          </c:marker>
          <c:val>
            <c:numRef>
              <c:f>Provence_4!$B$38:$B$43</c:f>
              <c:numCache>
                <c:formatCode>_-* #,##0_-;\-* #,##0_-;_-* "-"??_-;_-@_-</c:formatCode>
                <c:ptCount val="6"/>
                <c:pt idx="0">
                  <c:v>11080.922058612707</c:v>
                </c:pt>
                <c:pt idx="1">
                  <c:v>10605.491766000001</c:v>
                </c:pt>
                <c:pt idx="2">
                  <c:v>6427.0480602313746</c:v>
                </c:pt>
                <c:pt idx="3">
                  <c:v>5358.44061812379</c:v>
                </c:pt>
                <c:pt idx="4">
                  <c:v>7455.7407589999993</c:v>
                </c:pt>
                <c:pt idx="5">
                  <c:v>6598.3379415000018</c:v>
                </c:pt>
              </c:numCache>
            </c:numRef>
          </c:val>
        </c:ser>
        <c:marker val="1"/>
        <c:axId val="97214848"/>
        <c:axId val="97216384"/>
      </c:lineChart>
      <c:catAx>
        <c:axId val="97214848"/>
        <c:scaling>
          <c:orientation val="minMax"/>
        </c:scaling>
        <c:axPos val="b"/>
        <c:numFmt formatCode="General" sourceLinked="1"/>
        <c:tickLblPos val="nextTo"/>
        <c:crossAx val="97216384"/>
        <c:crosses val="autoZero"/>
        <c:auto val="1"/>
        <c:lblAlgn val="ctr"/>
        <c:lblOffset val="100"/>
      </c:catAx>
      <c:valAx>
        <c:axId val="97216384"/>
        <c:scaling>
          <c:orientation val="minMax"/>
        </c:scaling>
        <c:axPos val="l"/>
        <c:majorGridlines/>
        <c:numFmt formatCode="_-* #,##0_-;\-* #,##0_-;_-* &quot;-&quot;??_-;_-@_-" sourceLinked="1"/>
        <c:tickLblPos val="nextTo"/>
        <c:crossAx val="97214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692269012367788"/>
          <c:y val="2.6918773311230833E-2"/>
          <c:w val="0.18818585376624891"/>
          <c:h val="0.29129196021549936"/>
        </c:manualLayout>
      </c:layout>
      <c:spPr>
        <a:solidFill>
          <a:schemeClr val="bg1"/>
        </a:solidFill>
      </c:spPr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Clean Dark Spread (€/MWh)</a:t>
            </a:r>
          </a:p>
        </c:rich>
      </c:tx>
    </c:title>
    <c:plotArea>
      <c:layout>
        <c:manualLayout>
          <c:layoutTarget val="inner"/>
          <c:xMode val="edge"/>
          <c:yMode val="edge"/>
          <c:x val="0.11936686485617869"/>
          <c:y val="0.19480351414406533"/>
          <c:w val="0.84156284035924056"/>
          <c:h val="0.65482210557013765"/>
        </c:manualLayout>
      </c:layout>
      <c:lineChart>
        <c:grouping val="standard"/>
        <c:ser>
          <c:idx val="1"/>
          <c:order val="0"/>
          <c:tx>
            <c:strRef>
              <c:f>Provence_4!$A$1</c:f>
              <c:strCache>
                <c:ptCount val="1"/>
                <c:pt idx="0">
                  <c:v>Scenario 0</c:v>
                </c:pt>
              </c:strCache>
            </c:strRef>
          </c:tx>
          <c:marker>
            <c:symbol val="none"/>
          </c:marker>
          <c:cat>
            <c:numRef>
              <c:f>Lucy!$A$2:$A$7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Data_Provence_4!$P$2:$P$7</c:f>
              <c:numCache>
                <c:formatCode>_-* #,##0.0_-;\-* #,##0.0_-;_-* "-"??_-;_-@_-</c:formatCode>
                <c:ptCount val="6"/>
                <c:pt idx="0">
                  <c:v>33.911658381599885</c:v>
                </c:pt>
                <c:pt idx="1">
                  <c:v>36.479999999999862</c:v>
                </c:pt>
                <c:pt idx="2">
                  <c:v>37.760000000000566</c:v>
                </c:pt>
                <c:pt idx="3">
                  <c:v>41.520000000000131</c:v>
                </c:pt>
                <c:pt idx="4">
                  <c:v>43.424000000000127</c:v>
                </c:pt>
                <c:pt idx="5">
                  <c:v>44.607688000000131</c:v>
                </c:pt>
              </c:numCache>
            </c:numRef>
          </c:val>
        </c:ser>
        <c:ser>
          <c:idx val="0"/>
          <c:order val="1"/>
          <c:tx>
            <c:strRef>
              <c:f>Provence_4!$A$10</c:f>
              <c:strCache>
                <c:ptCount val="1"/>
                <c:pt idx="0">
                  <c:v>Scenario +10%</c:v>
                </c:pt>
              </c:strCache>
            </c:strRef>
          </c:tx>
          <c:marker>
            <c:symbol val="none"/>
          </c:marker>
          <c:val>
            <c:numRef>
              <c:f>Data_Provence_4!$P$10:$P$15</c:f>
              <c:numCache>
                <c:formatCode>_-* #,##0.0_-;\-* #,##0.0_-;_-* "-"??_-;_-@_-</c:formatCode>
                <c:ptCount val="6"/>
                <c:pt idx="0">
                  <c:v>40.863824219759884</c:v>
                </c:pt>
                <c:pt idx="1">
                  <c:v>43.882999999999846</c:v>
                </c:pt>
                <c:pt idx="2">
                  <c:v>45.650000000000624</c:v>
                </c:pt>
                <c:pt idx="3">
                  <c:v>49.930000000000142</c:v>
                </c:pt>
                <c:pt idx="4">
                  <c:v>51.834400000000151</c:v>
                </c:pt>
                <c:pt idx="5">
                  <c:v>53.332456800000152</c:v>
                </c:pt>
              </c:numCache>
            </c:numRef>
          </c:val>
        </c:ser>
        <c:ser>
          <c:idx val="2"/>
          <c:order val="2"/>
          <c:tx>
            <c:strRef>
              <c:f>Provence_4!$A$19</c:f>
              <c:strCache>
                <c:ptCount val="1"/>
                <c:pt idx="0">
                  <c:v>Scenario +5%</c:v>
                </c:pt>
              </c:strCache>
            </c:strRef>
          </c:tx>
          <c:marker>
            <c:symbol val="none"/>
          </c:marker>
          <c:val>
            <c:numRef>
              <c:f>Data_Provence_4!$P$18:$P$23</c:f>
              <c:numCache>
                <c:formatCode>_-* #,##0.0_-;\-* #,##0.0_-;_-* "-"??_-;_-@_-</c:formatCode>
                <c:ptCount val="6"/>
                <c:pt idx="0">
                  <c:v>37.39774130067989</c:v>
                </c:pt>
                <c:pt idx="1">
                  <c:v>40.316499999999863</c:v>
                </c:pt>
                <c:pt idx="2">
                  <c:v>41.695000000000597</c:v>
                </c:pt>
                <c:pt idx="3">
                  <c:v>45.700000000000138</c:v>
                </c:pt>
                <c:pt idx="4">
                  <c:v>47.584200000000138</c:v>
                </c:pt>
                <c:pt idx="5">
                  <c:v>48.960072400000143</c:v>
                </c:pt>
              </c:numCache>
            </c:numRef>
          </c:val>
        </c:ser>
        <c:ser>
          <c:idx val="3"/>
          <c:order val="3"/>
          <c:tx>
            <c:strRef>
              <c:f>Provence_4!$A$28</c:f>
              <c:strCache>
                <c:ptCount val="1"/>
                <c:pt idx="0">
                  <c:v>Scenario -5%</c:v>
                </c:pt>
              </c:strCache>
            </c:strRef>
          </c:tx>
          <c:marker>
            <c:symbol val="none"/>
          </c:marker>
          <c:val>
            <c:numRef>
              <c:f>Data_Provence_4!$P$26:$P$31</c:f>
              <c:numCache>
                <c:formatCode>_-* #,##0.0_-;\-* #,##0.0_-;_-* "-"??_-;_-@_-</c:formatCode>
                <c:ptCount val="6"/>
                <c:pt idx="0">
                  <c:v>30.365575462519885</c:v>
                </c:pt>
                <c:pt idx="1">
                  <c:v>32.79349999999986</c:v>
                </c:pt>
                <c:pt idx="2">
                  <c:v>33.815000000000538</c:v>
                </c:pt>
                <c:pt idx="3">
                  <c:v>37.350000000000122</c:v>
                </c:pt>
                <c:pt idx="4">
                  <c:v>39.123800000000124</c:v>
                </c:pt>
                <c:pt idx="5">
                  <c:v>40.335303600000117</c:v>
                </c:pt>
              </c:numCache>
            </c:numRef>
          </c:val>
        </c:ser>
        <c:ser>
          <c:idx val="4"/>
          <c:order val="4"/>
          <c:tx>
            <c:strRef>
              <c:f>Provence_4!$A$37</c:f>
              <c:strCache>
                <c:ptCount val="1"/>
                <c:pt idx="0">
                  <c:v>Scenario -10%</c:v>
                </c:pt>
              </c:strCache>
            </c:strRef>
          </c:tx>
          <c:marker>
            <c:symbol val="none"/>
          </c:marker>
          <c:val>
            <c:numRef>
              <c:f>Data_Provence_4!$P$35:$P$40</c:f>
              <c:numCache>
                <c:formatCode>_-* #,##0.0_-;\-* #,##0.0_-;_-* "-"??_-;_-@_-</c:formatCode>
                <c:ptCount val="6"/>
                <c:pt idx="0">
                  <c:v>26.699492543439902</c:v>
                </c:pt>
                <c:pt idx="1">
                  <c:v>29.226999999999869</c:v>
                </c:pt>
                <c:pt idx="2">
                  <c:v>29.710000000000512</c:v>
                </c:pt>
                <c:pt idx="3">
                  <c:v>33.080000000000112</c:v>
                </c:pt>
                <c:pt idx="4">
                  <c:v>34.843600000000123</c:v>
                </c:pt>
                <c:pt idx="5">
                  <c:v>35.982919200000119</c:v>
                </c:pt>
              </c:numCache>
            </c:numRef>
          </c:val>
        </c:ser>
        <c:marker val="1"/>
        <c:axId val="95511296"/>
        <c:axId val="95512832"/>
      </c:lineChart>
      <c:catAx>
        <c:axId val="95511296"/>
        <c:scaling>
          <c:orientation val="minMax"/>
        </c:scaling>
        <c:axPos val="b"/>
        <c:numFmt formatCode="General" sourceLinked="1"/>
        <c:tickLblPos val="nextTo"/>
        <c:crossAx val="95512832"/>
        <c:crosses val="autoZero"/>
        <c:auto val="1"/>
        <c:lblAlgn val="ctr"/>
        <c:lblOffset val="100"/>
      </c:catAx>
      <c:valAx>
        <c:axId val="95512832"/>
        <c:scaling>
          <c:orientation val="minMax"/>
          <c:min val="10"/>
        </c:scaling>
        <c:axPos val="l"/>
        <c:majorGridlines/>
        <c:numFmt formatCode="_-* #,##0.0_-;\-* #,##0.0_-;_-* &quot;-&quot;??_-;_-@_-" sourceLinked="1"/>
        <c:tickLblPos val="nextTo"/>
        <c:crossAx val="95511296"/>
        <c:crosses val="autoZero"/>
        <c:crossBetween val="between"/>
        <c:majorUnit val="1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Marge de contribution Marché (k€)</a:t>
            </a:r>
          </a:p>
        </c:rich>
      </c:tx>
    </c:title>
    <c:plotArea>
      <c:layout>
        <c:manualLayout>
          <c:layoutTarget val="inner"/>
          <c:xMode val="edge"/>
          <c:yMode val="edge"/>
          <c:x val="0.11579220538695202"/>
          <c:y val="0.19480346774834964"/>
          <c:w val="0.84156284035924056"/>
          <c:h val="0.65482210557013765"/>
        </c:manualLayout>
      </c:layout>
      <c:lineChart>
        <c:grouping val="standard"/>
        <c:ser>
          <c:idx val="0"/>
          <c:order val="0"/>
          <c:tx>
            <c:strRef>
              <c:f>Hornaing!$A$10</c:f>
              <c:strCache>
                <c:ptCount val="1"/>
                <c:pt idx="0">
                  <c:v>Scenario +10%</c:v>
                </c:pt>
              </c:strCache>
            </c:strRef>
          </c:tx>
          <c:marker>
            <c:symbol val="none"/>
          </c:marker>
          <c:val>
            <c:numRef>
              <c:f>Hornaing!$B$11:$B$16</c:f>
              <c:numCache>
                <c:formatCode>_-* #,##0_-;\-* #,##0_-;_-* "-"??_-;_-@_-</c:formatCode>
                <c:ptCount val="6"/>
                <c:pt idx="0">
                  <c:v>22859.02370885896</c:v>
                </c:pt>
                <c:pt idx="1">
                  <c:v>18024.770838750002</c:v>
                </c:pt>
                <c:pt idx="2">
                  <c:v>15902.617663999999</c:v>
                </c:pt>
                <c:pt idx="3">
                  <c:v>17395.024047999999</c:v>
                </c:pt>
                <c:pt idx="4">
                  <c:v>11532.899459</c:v>
                </c:pt>
              </c:numCache>
            </c:numRef>
          </c:val>
        </c:ser>
        <c:ser>
          <c:idx val="2"/>
          <c:order val="1"/>
          <c:tx>
            <c:strRef>
              <c:f>Hornaing!$A$19</c:f>
              <c:strCache>
                <c:ptCount val="1"/>
                <c:pt idx="0">
                  <c:v>Scenario +5%</c:v>
                </c:pt>
              </c:strCache>
            </c:strRef>
          </c:tx>
          <c:marker>
            <c:symbol val="none"/>
          </c:marker>
          <c:val>
            <c:numRef>
              <c:f>Hornaing!$B$20:$B$25</c:f>
              <c:numCache>
                <c:formatCode>_-* #,##0_-;\-* #,##0_-;_-* "-"??_-;_-@_-</c:formatCode>
                <c:ptCount val="6"/>
                <c:pt idx="0">
                  <c:v>19421.779469958885</c:v>
                </c:pt>
                <c:pt idx="1">
                  <c:v>15024.130184200001</c:v>
                </c:pt>
                <c:pt idx="2">
                  <c:v>12853.3223478</c:v>
                </c:pt>
                <c:pt idx="3">
                  <c:v>14067.11441526104</c:v>
                </c:pt>
                <c:pt idx="4">
                  <c:v>9716.0273616500017</c:v>
                </c:pt>
              </c:numCache>
            </c:numRef>
          </c:val>
        </c:ser>
        <c:ser>
          <c:idx val="1"/>
          <c:order val="2"/>
          <c:tx>
            <c:strRef>
              <c:f>Hornaing!$A$1</c:f>
              <c:strCache>
                <c:ptCount val="1"/>
                <c:pt idx="0">
                  <c:v>Scenario 0</c:v>
                </c:pt>
              </c:strCache>
            </c:strRef>
          </c:tx>
          <c:marker>
            <c:symbol val="none"/>
          </c:marker>
          <c:cat>
            <c:numRef>
              <c:f>Lucy!$A$2:$A$7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Hornaing!$B$2:$B$7</c:f>
              <c:numCache>
                <c:formatCode>_-* #,##0_-;\-* #,##0_-;_-* "-"??_-;_-@_-</c:formatCode>
                <c:ptCount val="6"/>
                <c:pt idx="0">
                  <c:v>16322.769245715172</c:v>
                </c:pt>
                <c:pt idx="1">
                  <c:v>12513.702746400002</c:v>
                </c:pt>
                <c:pt idx="2">
                  <c:v>10062.0468924</c:v>
                </c:pt>
                <c:pt idx="3">
                  <c:v>10902.535777225241</c:v>
                </c:pt>
                <c:pt idx="4">
                  <c:v>8086.018228599999</c:v>
                </c:pt>
              </c:numCache>
            </c:numRef>
          </c:val>
        </c:ser>
        <c:ser>
          <c:idx val="3"/>
          <c:order val="3"/>
          <c:tx>
            <c:strRef>
              <c:f>Hornaing!$A$28</c:f>
              <c:strCache>
                <c:ptCount val="1"/>
                <c:pt idx="0">
                  <c:v>Scenario -5%</c:v>
                </c:pt>
              </c:strCache>
            </c:strRef>
          </c:tx>
          <c:marker>
            <c:symbol val="none"/>
          </c:marker>
          <c:val>
            <c:numRef>
              <c:f>Hornaing!$B$29:$B$34</c:f>
              <c:numCache>
                <c:formatCode>_-* #,##0_-;\-* #,##0_-;_-* "-"??_-;_-@_-</c:formatCode>
                <c:ptCount val="6"/>
                <c:pt idx="0">
                  <c:v>13597.474721500001</c:v>
                </c:pt>
                <c:pt idx="1">
                  <c:v>10532.189694200002</c:v>
                </c:pt>
                <c:pt idx="2">
                  <c:v>7749.7771340000008</c:v>
                </c:pt>
                <c:pt idx="3">
                  <c:v>8008.0480763500018</c:v>
                </c:pt>
                <c:pt idx="4">
                  <c:v>6593.0657385000013</c:v>
                </c:pt>
              </c:numCache>
            </c:numRef>
          </c:val>
        </c:ser>
        <c:ser>
          <c:idx val="4"/>
          <c:order val="4"/>
          <c:tx>
            <c:strRef>
              <c:f>Hornaing!$A$37</c:f>
              <c:strCache>
                <c:ptCount val="1"/>
                <c:pt idx="0">
                  <c:v>Scenario -10%</c:v>
                </c:pt>
              </c:strCache>
            </c:strRef>
          </c:tx>
          <c:marker>
            <c:symbol val="none"/>
          </c:marker>
          <c:val>
            <c:numRef>
              <c:f>Hornaing!$B$38:$B$43</c:f>
              <c:numCache>
                <c:formatCode>_-* #,##0_-;\-* #,##0_-;_-* "-"??_-;_-@_-</c:formatCode>
                <c:ptCount val="6"/>
                <c:pt idx="0">
                  <c:v>11235.622363400002</c:v>
                </c:pt>
                <c:pt idx="1">
                  <c:v>8940.2125650000016</c:v>
                </c:pt>
                <c:pt idx="2">
                  <c:v>6048.3195312500011</c:v>
                </c:pt>
                <c:pt idx="3">
                  <c:v>5692.9687986711397</c:v>
                </c:pt>
                <c:pt idx="4">
                  <c:v>5204.42193425</c:v>
                </c:pt>
              </c:numCache>
            </c:numRef>
          </c:val>
        </c:ser>
        <c:marker val="1"/>
        <c:axId val="96310400"/>
        <c:axId val="96311936"/>
      </c:lineChart>
      <c:catAx>
        <c:axId val="96310400"/>
        <c:scaling>
          <c:orientation val="minMax"/>
        </c:scaling>
        <c:axPos val="b"/>
        <c:numFmt formatCode="General" sourceLinked="1"/>
        <c:tickLblPos val="nextTo"/>
        <c:crossAx val="96311936"/>
        <c:crosses val="autoZero"/>
        <c:auto val="1"/>
        <c:lblAlgn val="ctr"/>
        <c:lblOffset val="100"/>
      </c:catAx>
      <c:valAx>
        <c:axId val="96311936"/>
        <c:scaling>
          <c:orientation val="minMax"/>
        </c:scaling>
        <c:axPos val="l"/>
        <c:majorGridlines/>
        <c:numFmt formatCode="_-* #,##0_-;\-* #,##0_-;_-* &quot;-&quot;??_-;_-@_-" sourceLinked="1"/>
        <c:tickLblPos val="nextTo"/>
        <c:crossAx val="96310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69226901236781"/>
          <c:y val="2.6918773311230833E-2"/>
          <c:w val="0.18818585376624891"/>
          <c:h val="0.29129196021549936"/>
        </c:manualLayout>
      </c:layout>
      <c:spPr>
        <a:solidFill>
          <a:schemeClr val="bg1"/>
        </a:solidFill>
      </c:spPr>
    </c:legend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</xdr:colOff>
      <xdr:row>0</xdr:row>
      <xdr:rowOff>9525</xdr:rowOff>
    </xdr:from>
    <xdr:to>
      <xdr:col>15</xdr:col>
      <xdr:colOff>257175</xdr:colOff>
      <xdr:row>19</xdr:row>
      <xdr:rowOff>123825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13</xdr:row>
      <xdr:rowOff>123826</xdr:rowOff>
    </xdr:from>
    <xdr:to>
      <xdr:col>14</xdr:col>
      <xdr:colOff>333375</xdr:colOff>
      <xdr:row>15</xdr:row>
      <xdr:rowOff>76200</xdr:rowOff>
    </xdr:to>
    <xdr:sp macro="" textlink="">
      <xdr:nvSpPr>
        <xdr:cNvPr id="3" name="Triangle isocèle 2"/>
        <xdr:cNvSpPr/>
      </xdr:nvSpPr>
      <xdr:spPr>
        <a:xfrm>
          <a:off x="11963400" y="2085976"/>
          <a:ext cx="190500" cy="276224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1</xdr:colOff>
      <xdr:row>19</xdr:row>
      <xdr:rowOff>9525</xdr:rowOff>
    </xdr:from>
    <xdr:to>
      <xdr:col>15</xdr:col>
      <xdr:colOff>257175</xdr:colOff>
      <xdr:row>38</xdr:row>
      <xdr:rowOff>57150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0.67561</cdr:x>
      <cdr:y>0.47369</cdr:y>
    </cdr:from>
    <cdr:to>
      <cdr:x>0.69973</cdr:x>
      <cdr:y>0.5329</cdr:y>
    </cdr:to>
    <cdr:sp macro="" textlink="">
      <cdr:nvSpPr>
        <cdr:cNvPr id="2" name="Triangle isocèle 1"/>
        <cdr:cNvSpPr/>
      </cdr:nvSpPr>
      <cdr:spPr>
        <a:xfrm xmlns:a="http://schemas.openxmlformats.org/drawingml/2006/main">
          <a:off x="4800628" y="1371605"/>
          <a:ext cx="171389" cy="171448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accent1"/>
        </a:solidFill>
        <a:ln xmlns:a="http://schemas.openxmlformats.org/drawingml/2006/main" w="25400" cap="flat" cmpd="sng" algn="ctr">
          <a:solidFill>
            <a:schemeClr val="accent1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ctr"/>
          <a:endParaRPr lang="fr-FR" sz="1100"/>
        </a:p>
      </cdr:txBody>
    </cdr:sp>
  </cdr:relSizeAnchor>
  <cdr:relSizeAnchor xmlns:cdr="http://schemas.openxmlformats.org/drawingml/2006/chartDrawing">
    <cdr:from>
      <cdr:x>0.74531</cdr:x>
      <cdr:y>0.54606</cdr:y>
    </cdr:from>
    <cdr:to>
      <cdr:x>0.76408</cdr:x>
      <cdr:y>0.58224</cdr:y>
    </cdr:to>
    <cdr:sp macro="" textlink="">
      <cdr:nvSpPr>
        <cdr:cNvPr id="3" name="Triangle isocèle 2"/>
        <cdr:cNvSpPr/>
      </cdr:nvSpPr>
      <cdr:spPr>
        <a:xfrm xmlns:a="http://schemas.openxmlformats.org/drawingml/2006/main">
          <a:off x="5295913" y="1581162"/>
          <a:ext cx="133373" cy="104763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accent3"/>
        </a:solidFill>
        <a:ln xmlns:a="http://schemas.openxmlformats.org/drawingml/2006/main" w="25400" cap="flat" cmpd="sng" algn="ctr">
          <a:solidFill>
            <a:schemeClr val="accent3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fr-FR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0</xdr:row>
      <xdr:rowOff>9525</xdr:rowOff>
    </xdr:from>
    <xdr:to>
      <xdr:col>16</xdr:col>
      <xdr:colOff>257175</xdr:colOff>
      <xdr:row>19</xdr:row>
      <xdr:rowOff>123825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</xdr:colOff>
      <xdr:row>19</xdr:row>
      <xdr:rowOff>9525</xdr:rowOff>
    </xdr:from>
    <xdr:to>
      <xdr:col>16</xdr:col>
      <xdr:colOff>257175</xdr:colOff>
      <xdr:row>38</xdr:row>
      <xdr:rowOff>57150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15</xdr:col>
      <xdr:colOff>247651</xdr:colOff>
      <xdr:row>19</xdr:row>
      <xdr:rowOff>38100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66675</xdr:colOff>
      <xdr:row>7</xdr:row>
      <xdr:rowOff>9525</xdr:rowOff>
    </xdr:from>
    <xdr:to>
      <xdr:col>11</xdr:col>
      <xdr:colOff>238064</xdr:colOff>
      <xdr:row>8</xdr:row>
      <xdr:rowOff>19048</xdr:rowOff>
    </xdr:to>
    <xdr:sp macro="" textlink="">
      <xdr:nvSpPr>
        <xdr:cNvPr id="3" name="Triangle isocèle 2"/>
        <xdr:cNvSpPr/>
      </xdr:nvSpPr>
      <xdr:spPr>
        <a:xfrm>
          <a:off x="9601200" y="1152525"/>
          <a:ext cx="171389" cy="171448"/>
        </a:xfrm>
        <a:prstGeom prst="triangle">
          <a:avLst/>
        </a:prstGeom>
        <a:solidFill>
          <a:schemeClr val="accent1"/>
        </a:solidFill>
        <a:ln w="25400" cap="flat" cmpd="sng" algn="ctr">
          <a:solidFill>
            <a:schemeClr val="accent1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11</xdr:col>
      <xdr:colOff>647700</xdr:colOff>
      <xdr:row>9</xdr:row>
      <xdr:rowOff>57150</xdr:rowOff>
    </xdr:from>
    <xdr:to>
      <xdr:col>12</xdr:col>
      <xdr:colOff>19073</xdr:colOff>
      <xdr:row>9</xdr:row>
      <xdr:rowOff>161913</xdr:rowOff>
    </xdr:to>
    <xdr:sp macro="" textlink="">
      <xdr:nvSpPr>
        <xdr:cNvPr id="4" name="Triangle isocèle 3"/>
        <xdr:cNvSpPr/>
      </xdr:nvSpPr>
      <xdr:spPr>
        <a:xfrm>
          <a:off x="10182225" y="1533525"/>
          <a:ext cx="133373" cy="104763"/>
        </a:xfrm>
        <a:prstGeom prst="triangle">
          <a:avLst/>
        </a:prstGeom>
        <a:solidFill>
          <a:schemeClr val="accent3"/>
        </a:solidFill>
        <a:ln w="25400" cap="flat" cmpd="sng" algn="ctr">
          <a:solidFill>
            <a:schemeClr val="accent3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12</xdr:col>
      <xdr:colOff>514350</xdr:colOff>
      <xdr:row>11</xdr:row>
      <xdr:rowOff>104775</xdr:rowOff>
    </xdr:from>
    <xdr:to>
      <xdr:col>12</xdr:col>
      <xdr:colOff>647723</xdr:colOff>
      <xdr:row>12</xdr:row>
      <xdr:rowOff>47613</xdr:rowOff>
    </xdr:to>
    <xdr:sp macro="" textlink="">
      <xdr:nvSpPr>
        <xdr:cNvPr id="5" name="Triangle isocèle 4"/>
        <xdr:cNvSpPr/>
      </xdr:nvSpPr>
      <xdr:spPr>
        <a:xfrm>
          <a:off x="10810875" y="1905000"/>
          <a:ext cx="133373" cy="104763"/>
        </a:xfrm>
        <a:prstGeom prst="triangle">
          <a:avLst/>
        </a:prstGeom>
        <a:solidFill>
          <a:schemeClr val="accent2"/>
        </a:solidFill>
        <a:ln w="25400" cap="flat" cmpd="sng" algn="ctr">
          <a:solidFill>
            <a:schemeClr val="accent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0.74665</cdr:x>
      <cdr:y>0.67576</cdr:y>
    </cdr:from>
    <cdr:to>
      <cdr:x>0.76407</cdr:x>
      <cdr:y>0.7303</cdr:y>
    </cdr:to>
    <cdr:sp macro="" textlink="">
      <cdr:nvSpPr>
        <cdr:cNvPr id="2" name="Triangle isocèle 1"/>
        <cdr:cNvSpPr/>
      </cdr:nvSpPr>
      <cdr:spPr>
        <a:xfrm xmlns:a="http://schemas.openxmlformats.org/drawingml/2006/main">
          <a:off x="5305425" y="2124074"/>
          <a:ext cx="123825" cy="171449"/>
        </a:xfrm>
        <a:prstGeom xmlns:a="http://schemas.openxmlformats.org/drawingml/2006/main" prst="triangle">
          <a:avLst/>
        </a:prstGeom>
        <a:solidFill xmlns:a="http://schemas.openxmlformats.org/drawingml/2006/main">
          <a:srgbClr val="4F81BD"/>
        </a:solidFill>
        <a:ln xmlns:a="http://schemas.openxmlformats.org/drawingml/2006/main" w="25400" cap="flat" cmpd="sng" algn="ctr">
          <a:solidFill>
            <a:srgbClr val="4F81BD">
              <a:shade val="50000"/>
            </a:srgbClr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ctr"/>
          <a:endParaRPr lang="fr-FR" sz="1100"/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showGridLines="0" tabSelected="1" workbookViewId="0">
      <selection activeCell="C14" sqref="C14"/>
    </sheetView>
  </sheetViews>
  <sheetFormatPr baseColWidth="10" defaultRowHeight="12.75"/>
  <cols>
    <col min="1" max="1" width="10.140625" bestFit="1" customWidth="1"/>
    <col min="2" max="2" width="12.85546875" bestFit="1" customWidth="1"/>
    <col min="3" max="3" width="16.140625" bestFit="1" customWidth="1"/>
    <col min="4" max="4" width="10" bestFit="1" customWidth="1"/>
    <col min="5" max="5" width="20.140625" bestFit="1" customWidth="1"/>
    <col min="6" max="6" width="12" bestFit="1" customWidth="1"/>
    <col min="7" max="7" width="22.28515625" bestFit="1" customWidth="1"/>
  </cols>
  <sheetData>
    <row r="1" spans="1:7" ht="13.5" thickBot="1">
      <c r="A1" s="9">
        <v>2008</v>
      </c>
      <c r="B1" s="9" t="s">
        <v>27</v>
      </c>
      <c r="C1" s="10" t="s">
        <v>28</v>
      </c>
      <c r="D1" s="9" t="s">
        <v>29</v>
      </c>
      <c r="E1" s="9" t="s">
        <v>30</v>
      </c>
      <c r="F1" s="10" t="s">
        <v>31</v>
      </c>
      <c r="G1" s="9" t="s">
        <v>32</v>
      </c>
    </row>
    <row r="2" spans="1:7">
      <c r="A2" s="9" t="s">
        <v>50</v>
      </c>
      <c r="B2" s="11">
        <v>4980</v>
      </c>
      <c r="C2" s="12">
        <v>478077.13833333342</v>
      </c>
      <c r="D2" s="11">
        <v>112</v>
      </c>
      <c r="E2" s="11">
        <f>C2/D2</f>
        <v>4268.5458779761912</v>
      </c>
      <c r="F2" s="10">
        <v>90</v>
      </c>
      <c r="G2" s="11">
        <f>C2/F2</f>
        <v>5311.9682037037046</v>
      </c>
    </row>
    <row r="3" spans="1:7">
      <c r="A3" s="13" t="s">
        <v>15</v>
      </c>
      <c r="B3" s="14">
        <v>5099</v>
      </c>
      <c r="C3" s="15">
        <v>1078012.3930000002</v>
      </c>
      <c r="D3" s="16">
        <v>285</v>
      </c>
      <c r="E3" s="14">
        <f t="shared" ref="E3:E8" si="0">C3/D3</f>
        <v>3782.4996245614038</v>
      </c>
      <c r="F3" s="17">
        <v>255</v>
      </c>
      <c r="G3" s="14">
        <f t="shared" ref="G3:G8" si="1">C3/F3</f>
        <v>4227.4995803921574</v>
      </c>
    </row>
    <row r="4" spans="1:7">
      <c r="A4" s="13" t="s">
        <v>51</v>
      </c>
      <c r="B4" s="16">
        <v>5038</v>
      </c>
      <c r="C4" s="15">
        <v>2460025.9263333329</v>
      </c>
      <c r="D4" s="16">
        <v>600</v>
      </c>
      <c r="E4" s="16">
        <f t="shared" si="0"/>
        <v>4100.0432105555547</v>
      </c>
      <c r="F4" s="17">
        <v>531</v>
      </c>
      <c r="G4" s="16">
        <f t="shared" si="1"/>
        <v>4632.8171870684237</v>
      </c>
    </row>
    <row r="5" spans="1:7">
      <c r="A5" s="13" t="s">
        <v>14</v>
      </c>
      <c r="B5" s="14">
        <v>4282</v>
      </c>
      <c r="C5" s="15">
        <v>729410.35199999984</v>
      </c>
      <c r="D5" s="16">
        <v>230</v>
      </c>
      <c r="E5" s="14">
        <f t="shared" si="0"/>
        <v>3171.3493565217386</v>
      </c>
      <c r="F5" s="17">
        <v>210</v>
      </c>
      <c r="G5" s="14">
        <f t="shared" si="1"/>
        <v>3473.3826285714276</v>
      </c>
    </row>
    <row r="6" spans="1:7">
      <c r="A6" s="13" t="s">
        <v>12</v>
      </c>
      <c r="B6" s="14">
        <v>4466</v>
      </c>
      <c r="C6" s="15">
        <v>836035.86133333331</v>
      </c>
      <c r="D6" s="16">
        <v>245</v>
      </c>
      <c r="E6" s="14">
        <f t="shared" si="0"/>
        <v>3412.3912707482991</v>
      </c>
      <c r="F6" s="17">
        <v>218</v>
      </c>
      <c r="G6" s="14">
        <f t="shared" si="1"/>
        <v>3835.0268868501526</v>
      </c>
    </row>
    <row r="7" spans="1:7">
      <c r="A7" s="13" t="s">
        <v>52</v>
      </c>
      <c r="B7" s="16">
        <v>4685</v>
      </c>
      <c r="C7" s="15">
        <v>2304968.1996666668</v>
      </c>
      <c r="D7" s="16">
        <v>583</v>
      </c>
      <c r="E7" s="16">
        <f t="shared" si="0"/>
        <v>3953.6332755860494</v>
      </c>
      <c r="F7" s="17">
        <v>543</v>
      </c>
      <c r="G7" s="16">
        <f t="shared" si="1"/>
        <v>4244.8769791283003</v>
      </c>
    </row>
    <row r="8" spans="1:7" ht="13.5" thickBot="1">
      <c r="A8" s="18" t="s">
        <v>13</v>
      </c>
      <c r="B8" s="19">
        <v>2623.5</v>
      </c>
      <c r="C8" s="20">
        <v>399577.70183333335</v>
      </c>
      <c r="D8" s="19">
        <v>210</v>
      </c>
      <c r="E8" s="19">
        <f t="shared" si="0"/>
        <v>1902.7509611111111</v>
      </c>
      <c r="F8" s="21">
        <v>205</v>
      </c>
      <c r="G8" s="19">
        <f t="shared" si="1"/>
        <v>1949.1595211382114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5"/>
  <sheetViews>
    <sheetView showGridLines="0" workbookViewId="0">
      <selection activeCell="I23" sqref="I23"/>
    </sheetView>
  </sheetViews>
  <sheetFormatPr baseColWidth="10" defaultRowHeight="12.75"/>
  <cols>
    <col min="1" max="1" width="10.140625" customWidth="1"/>
    <col min="3" max="3" width="9.7109375" bestFit="1" customWidth="1"/>
    <col min="4" max="4" width="12.5703125" customWidth="1"/>
    <col min="5" max="5" width="18.85546875" customWidth="1"/>
    <col min="6" max="6" width="15.28515625" customWidth="1"/>
    <col min="7" max="7" width="10.5703125" customWidth="1"/>
    <col min="8" max="8" width="7.140625" customWidth="1"/>
    <col min="9" max="9" width="12.42578125" customWidth="1"/>
    <col min="10" max="10" width="9" customWidth="1"/>
    <col min="11" max="11" width="12.28515625" bestFit="1" customWidth="1"/>
    <col min="12" max="12" width="14" customWidth="1"/>
    <col min="13" max="13" width="14.28515625" bestFit="1" customWidth="1"/>
    <col min="14" max="14" width="13.7109375" customWidth="1"/>
    <col min="15" max="15" width="13" customWidth="1"/>
  </cols>
  <sheetData>
    <row r="1" spans="1:15" ht="27" customHeight="1" thickBot="1">
      <c r="B1" s="69" t="s">
        <v>39</v>
      </c>
      <c r="C1" s="6" t="s">
        <v>4</v>
      </c>
      <c r="D1" s="8" t="s">
        <v>23</v>
      </c>
      <c r="E1" s="8" t="s">
        <v>24</v>
      </c>
      <c r="F1" s="8" t="s">
        <v>25</v>
      </c>
      <c r="G1" s="8" t="s">
        <v>26</v>
      </c>
      <c r="L1" s="66" t="s">
        <v>11</v>
      </c>
      <c r="M1" s="67"/>
      <c r="N1" s="67"/>
      <c r="O1" s="68"/>
    </row>
    <row r="2" spans="1:15">
      <c r="A2" s="4">
        <v>39814</v>
      </c>
      <c r="B2" s="7">
        <v>52.31294803136479</v>
      </c>
      <c r="C2" s="7">
        <v>11.67</v>
      </c>
      <c r="D2" s="7">
        <v>85.116505984022325</v>
      </c>
      <c r="E2" s="7">
        <v>75.871297034165053</v>
      </c>
      <c r="F2" s="7">
        <v>74.286020017750729</v>
      </c>
      <c r="G2" s="7">
        <v>81.737311437526046</v>
      </c>
      <c r="I2" s="31"/>
      <c r="J2" s="32" t="s">
        <v>5</v>
      </c>
      <c r="K2" s="32" t="s">
        <v>10</v>
      </c>
      <c r="L2" s="34" t="s">
        <v>12</v>
      </c>
      <c r="M2" s="32" t="s">
        <v>13</v>
      </c>
      <c r="N2" s="32" t="s">
        <v>14</v>
      </c>
      <c r="O2" s="33" t="s">
        <v>15</v>
      </c>
    </row>
    <row r="3" spans="1:15">
      <c r="A3" s="5">
        <v>39845</v>
      </c>
      <c r="B3" s="7">
        <v>55.213233570119563</v>
      </c>
      <c r="C3" s="7">
        <v>11.67</v>
      </c>
      <c r="D3" s="7">
        <v>79.637722771797911</v>
      </c>
      <c r="E3" s="7">
        <v>79.018326572336846</v>
      </c>
      <c r="F3" s="7">
        <v>68.80723680552633</v>
      </c>
      <c r="G3" s="7">
        <v>76.258528225301632</v>
      </c>
      <c r="I3" s="22">
        <v>2009</v>
      </c>
      <c r="J3" s="23">
        <v>50.416410540578113</v>
      </c>
      <c r="K3" s="23">
        <v>70.121658381599886</v>
      </c>
      <c r="L3" s="35">
        <v>499465.8</v>
      </c>
      <c r="M3" s="24">
        <f>670697*0.9</f>
        <v>603627.30000000005</v>
      </c>
      <c r="N3" s="24">
        <v>407291.4</v>
      </c>
      <c r="O3" s="25">
        <f>3057346.8*3/10</f>
        <v>917204.0399999998</v>
      </c>
    </row>
    <row r="4" spans="1:15">
      <c r="A4" s="5">
        <v>39873</v>
      </c>
      <c r="B4" s="7">
        <v>55.964081056708793</v>
      </c>
      <c r="C4" s="7">
        <v>11.67</v>
      </c>
      <c r="D4" s="7">
        <v>78.297183712234016</v>
      </c>
      <c r="E4" s="7">
        <v>79.777313958420308</v>
      </c>
      <c r="F4" s="7">
        <v>67.466697745962435</v>
      </c>
      <c r="G4" s="7">
        <v>74.917989165737737</v>
      </c>
      <c r="I4" s="26">
        <v>2010</v>
      </c>
      <c r="J4" s="27">
        <v>50.226916968165682</v>
      </c>
      <c r="K4" s="27">
        <v>74.529999999999859</v>
      </c>
      <c r="L4" s="36">
        <v>443969.60000000003</v>
      </c>
      <c r="M4" s="15">
        <f>670697*0.8</f>
        <v>536557.6</v>
      </c>
      <c r="N4" s="15">
        <v>362036.80000000005</v>
      </c>
      <c r="O4" s="28">
        <f>2717641.6*3/10</f>
        <v>815292.4800000001</v>
      </c>
    </row>
    <row r="5" spans="1:15">
      <c r="A5" s="5">
        <v>39904</v>
      </c>
      <c r="B5" s="7">
        <v>55.155617994001311</v>
      </c>
      <c r="C5" s="7">
        <v>11.67</v>
      </c>
      <c r="D5" s="7">
        <v>79.187886967193464</v>
      </c>
      <c r="E5" s="7">
        <v>78.976511157168034</v>
      </c>
      <c r="F5" s="7">
        <v>68.357401000921882</v>
      </c>
      <c r="G5" s="7">
        <v>75.808692420697184</v>
      </c>
      <c r="I5" s="26">
        <v>2011</v>
      </c>
      <c r="J5" s="27">
        <v>52.216505526278709</v>
      </c>
      <c r="K5" s="27">
        <v>77.500000000000568</v>
      </c>
      <c r="L5" s="36">
        <v>360725.3</v>
      </c>
      <c r="M5" s="15">
        <f>670697*0.65</f>
        <v>435953.05</v>
      </c>
      <c r="N5" s="15">
        <v>294154.90000000002</v>
      </c>
      <c r="O5" s="28">
        <f>2208083.8*3/10</f>
        <v>662425.1399999999</v>
      </c>
    </row>
    <row r="6" spans="1:15">
      <c r="A6" s="5">
        <v>39934</v>
      </c>
      <c r="B6" s="7">
        <v>55.201928742579277</v>
      </c>
      <c r="C6" s="7">
        <v>11.67</v>
      </c>
      <c r="D6" s="7">
        <v>79.184344787897516</v>
      </c>
      <c r="E6" s="7">
        <v>79.030228262167526</v>
      </c>
      <c r="F6" s="7">
        <v>68.353858821625934</v>
      </c>
      <c r="G6" s="7">
        <v>75.805150241401236</v>
      </c>
      <c r="I6" s="26">
        <v>2012</v>
      </c>
      <c r="J6" s="27">
        <v>55.656424971052992</v>
      </c>
      <c r="K6" s="27">
        <v>82.000000000000128</v>
      </c>
      <c r="L6" s="36">
        <v>221984.80000000002</v>
      </c>
      <c r="M6" s="15">
        <f>670697*0.4</f>
        <v>268278.8</v>
      </c>
      <c r="N6" s="15">
        <v>181018.40000000002</v>
      </c>
      <c r="O6" s="28">
        <f>1358820.8*3/10</f>
        <v>407646.24000000005</v>
      </c>
    </row>
    <row r="7" spans="1:15">
      <c r="A7" s="5">
        <v>39965</v>
      </c>
      <c r="B7" s="7">
        <v>55.233931340239685</v>
      </c>
      <c r="C7" s="7">
        <v>11.67</v>
      </c>
      <c r="D7" s="7">
        <v>78.955564543403867</v>
      </c>
      <c r="E7" s="7">
        <v>79.067348951242252</v>
      </c>
      <c r="F7" s="7">
        <v>68.125078577132285</v>
      </c>
      <c r="G7" s="7">
        <v>75.576369996907587</v>
      </c>
      <c r="I7" s="26">
        <v>2013</v>
      </c>
      <c r="J7" s="27">
        <v>56.88086632041616</v>
      </c>
      <c r="K7" s="27">
        <v>83.80400000000013</v>
      </c>
      <c r="L7" s="41">
        <v>0</v>
      </c>
      <c r="M7" s="42">
        <v>0</v>
      </c>
      <c r="N7" s="43">
        <v>0</v>
      </c>
      <c r="O7" s="44">
        <v>0</v>
      </c>
    </row>
    <row r="8" spans="1:15">
      <c r="A8" s="5">
        <v>39995</v>
      </c>
      <c r="B8" s="7">
        <v>56.897130567745741</v>
      </c>
      <c r="C8" s="7">
        <v>11.67</v>
      </c>
      <c r="D8" s="7">
        <v>79.501238483177119</v>
      </c>
      <c r="E8" s="7">
        <v>80.732970184644472</v>
      </c>
      <c r="F8" s="7">
        <v>68.670752516905537</v>
      </c>
      <c r="G8" s="7">
        <v>76.122043936680839</v>
      </c>
      <c r="I8" s="29">
        <v>2014</v>
      </c>
      <c r="J8" s="30">
        <v>58.132245379465317</v>
      </c>
      <c r="K8" s="30">
        <v>85.64768800000013</v>
      </c>
      <c r="L8" s="45">
        <v>0</v>
      </c>
      <c r="M8" s="46">
        <v>0</v>
      </c>
      <c r="N8" s="47">
        <v>0</v>
      </c>
      <c r="O8" s="48">
        <v>0</v>
      </c>
    </row>
    <row r="9" spans="1:15">
      <c r="A9" s="5">
        <v>40026</v>
      </c>
      <c r="B9" s="7">
        <v>56.951504805561576</v>
      </c>
      <c r="C9" s="7">
        <v>11.67</v>
      </c>
      <c r="D9" s="7">
        <v>80.049438982911568</v>
      </c>
      <c r="E9" s="7">
        <v>80.795788469459481</v>
      </c>
      <c r="F9" s="7">
        <v>69.218953016639986</v>
      </c>
      <c r="G9" s="7">
        <v>76.670244436415288</v>
      </c>
      <c r="K9" s="2"/>
    </row>
    <row r="10" spans="1:15">
      <c r="A10" s="5">
        <v>40057</v>
      </c>
      <c r="B10" s="7">
        <v>56.987424417183902</v>
      </c>
      <c r="C10" s="7">
        <v>11.67</v>
      </c>
      <c r="D10" s="7">
        <v>80.598866813687437</v>
      </c>
      <c r="E10" s="7">
        <v>80.837286216995324</v>
      </c>
      <c r="F10" s="7">
        <v>69.768380847415841</v>
      </c>
      <c r="G10" s="7">
        <v>77.219672267191157</v>
      </c>
      <c r="L10" s="66" t="s">
        <v>44</v>
      </c>
      <c r="M10" s="67"/>
      <c r="N10" s="67"/>
      <c r="O10" s="68"/>
    </row>
    <row r="11" spans="1:15" ht="27" customHeight="1">
      <c r="A11" s="5">
        <v>40087</v>
      </c>
      <c r="B11" s="7">
        <v>58.629041294047887</v>
      </c>
      <c r="C11" s="7">
        <v>11.67</v>
      </c>
      <c r="D11" s="7">
        <v>81.141532174595426</v>
      </c>
      <c r="E11" s="7">
        <v>82.489413906753839</v>
      </c>
      <c r="F11" s="7">
        <v>70.311046208323845</v>
      </c>
      <c r="G11" s="7">
        <v>77.762337628099147</v>
      </c>
      <c r="I11" s="88" t="s">
        <v>46</v>
      </c>
      <c r="J11" s="89">
        <v>1.4</v>
      </c>
      <c r="L11" s="34" t="s">
        <v>12</v>
      </c>
      <c r="M11" s="32" t="s">
        <v>13</v>
      </c>
      <c r="N11" s="32" t="s">
        <v>14</v>
      </c>
      <c r="O11" s="33" t="s">
        <v>15</v>
      </c>
    </row>
    <row r="12" spans="1:15">
      <c r="A12" s="5">
        <v>40118</v>
      </c>
      <c r="B12" s="7">
        <v>58.643537615402408</v>
      </c>
      <c r="C12" s="7">
        <v>11.67</v>
      </c>
      <c r="D12" s="7">
        <v>81.671702455012223</v>
      </c>
      <c r="E12" s="7">
        <v>82.50610099919858</v>
      </c>
      <c r="F12" s="7">
        <v>70.841216488740642</v>
      </c>
      <c r="G12" s="7">
        <v>78.292507908515944</v>
      </c>
      <c r="L12" s="74">
        <v>6.5000000000000002E-2</v>
      </c>
      <c r="M12" s="71">
        <v>0.15</v>
      </c>
      <c r="N12" s="77">
        <v>6.5000000000000002E-2</v>
      </c>
      <c r="O12" s="78">
        <v>6.5000000000000002E-2</v>
      </c>
    </row>
    <row r="13" spans="1:15">
      <c r="A13" s="5">
        <v>40148</v>
      </c>
      <c r="B13" s="7">
        <v>58.637282281267439</v>
      </c>
      <c r="C13" s="7">
        <v>11.67</v>
      </c>
      <c r="D13" s="7">
        <v>82.188657919091725</v>
      </c>
      <c r="E13" s="7">
        <v>82.498900321424529</v>
      </c>
      <c r="F13" s="7">
        <v>71.358171952820143</v>
      </c>
      <c r="G13" s="7">
        <v>78.809463372595445</v>
      </c>
      <c r="L13" s="75">
        <v>6.5000000000000002E-2</v>
      </c>
      <c r="M13" s="72">
        <v>0.15</v>
      </c>
      <c r="N13" s="79">
        <v>6.5000000000000002E-2</v>
      </c>
      <c r="O13" s="80">
        <v>6.5000000000000002E-2</v>
      </c>
    </row>
    <row r="14" spans="1:15">
      <c r="A14" s="5">
        <v>40179</v>
      </c>
      <c r="B14" s="7">
        <v>62.629592573926587</v>
      </c>
      <c r="C14" s="7">
        <v>12</v>
      </c>
      <c r="D14" s="7">
        <v>110.10909806646782</v>
      </c>
      <c r="E14" s="7">
        <v>86.499272008452664</v>
      </c>
      <c r="F14" s="7">
        <v>81.26662378390327</v>
      </c>
      <c r="G14" s="7">
        <v>84.29198844790767</v>
      </c>
      <c r="L14" s="75">
        <v>6.5000000000000002E-2</v>
      </c>
      <c r="M14" s="72">
        <v>0.15</v>
      </c>
      <c r="N14" s="79">
        <v>6.5000000000000002E-2</v>
      </c>
      <c r="O14" s="80">
        <v>6.5000000000000002E-2</v>
      </c>
    </row>
    <row r="15" spans="1:15">
      <c r="A15" s="5">
        <v>40210</v>
      </c>
      <c r="B15" s="7">
        <v>62.687903841291082</v>
      </c>
      <c r="C15" s="7">
        <v>12</v>
      </c>
      <c r="D15" s="7">
        <v>110.1674093338323</v>
      </c>
      <c r="E15" s="7">
        <v>86.565841388758471</v>
      </c>
      <c r="F15" s="7">
        <v>81.324935051267772</v>
      </c>
      <c r="G15" s="7">
        <v>84.350299715272158</v>
      </c>
      <c r="L15" s="75">
        <v>6.5000000000000002E-2</v>
      </c>
      <c r="M15" s="72">
        <v>0.15</v>
      </c>
      <c r="N15" s="79">
        <v>6.5000000000000002E-2</v>
      </c>
      <c r="O15" s="80">
        <v>6.5000000000000002E-2</v>
      </c>
    </row>
    <row r="16" spans="1:15">
      <c r="A16" s="5">
        <v>40238</v>
      </c>
      <c r="B16" s="7">
        <v>62.733995446782288</v>
      </c>
      <c r="C16" s="7">
        <v>12</v>
      </c>
      <c r="D16" s="7">
        <v>110.21350093932352</v>
      </c>
      <c r="E16" s="7">
        <v>86.618460543743907</v>
      </c>
      <c r="F16" s="7">
        <v>81.371026656758971</v>
      </c>
      <c r="G16" s="7">
        <v>84.396391320763371</v>
      </c>
      <c r="L16" s="75">
        <v>6.5000000000000002E-2</v>
      </c>
      <c r="M16" s="72">
        <v>0.15</v>
      </c>
      <c r="N16" s="79">
        <v>6.5000000000000002E-2</v>
      </c>
      <c r="O16" s="80">
        <v>6.5000000000000002E-2</v>
      </c>
    </row>
    <row r="17" spans="1:15">
      <c r="A17" s="5">
        <v>40269</v>
      </c>
      <c r="B17" s="7">
        <v>62.782237040638307</v>
      </c>
      <c r="C17" s="7">
        <v>12</v>
      </c>
      <c r="D17" s="7">
        <v>110.26174253317953</v>
      </c>
      <c r="E17" s="7">
        <v>86.673534171073698</v>
      </c>
      <c r="F17" s="7">
        <v>81.419268250614977</v>
      </c>
      <c r="G17" s="7">
        <v>84.444632914619376</v>
      </c>
      <c r="L17" s="76">
        <v>6.5000000000000002E-2</v>
      </c>
      <c r="M17" s="73">
        <v>0.15</v>
      </c>
      <c r="N17" s="81">
        <v>6.5000000000000002E-2</v>
      </c>
      <c r="O17" s="82">
        <v>6.5000000000000002E-2</v>
      </c>
    </row>
    <row r="18" spans="1:15">
      <c r="A18" s="5">
        <v>40299</v>
      </c>
      <c r="B18" s="7">
        <v>62.831086610537284</v>
      </c>
      <c r="C18" s="7">
        <v>12</v>
      </c>
      <c r="D18" s="7">
        <v>110.31059210307851</v>
      </c>
      <c r="E18" s="7">
        <v>86.729301876756594</v>
      </c>
      <c r="F18" s="7">
        <v>81.468117820513953</v>
      </c>
      <c r="G18" s="7">
        <v>84.493482484518353</v>
      </c>
    </row>
    <row r="19" spans="1:15">
      <c r="A19" s="5">
        <v>40330</v>
      </c>
      <c r="B19" s="7">
        <v>62.880540241814209</v>
      </c>
      <c r="C19" s="7">
        <v>12</v>
      </c>
      <c r="D19" s="7">
        <v>110.36004573435542</v>
      </c>
      <c r="E19" s="7">
        <v>86.785759191727962</v>
      </c>
      <c r="F19" s="7">
        <v>81.5175714517909</v>
      </c>
      <c r="G19" s="7">
        <v>84.542936115795285</v>
      </c>
    </row>
    <row r="20" spans="1:15">
      <c r="A20" s="5">
        <v>40360</v>
      </c>
      <c r="B20" s="7">
        <v>62.930605625502913</v>
      </c>
      <c r="C20" s="7">
        <v>12</v>
      </c>
      <c r="D20" s="7">
        <v>110.41011111804414</v>
      </c>
      <c r="E20" s="7">
        <v>86.842914896235243</v>
      </c>
      <c r="F20" s="7">
        <v>81.56763683547959</v>
      </c>
      <c r="G20" s="7">
        <v>84.593001499483989</v>
      </c>
    </row>
    <row r="21" spans="1:15">
      <c r="A21" s="5">
        <v>40391</v>
      </c>
      <c r="B21" s="7">
        <v>62.982116166440754</v>
      </c>
      <c r="C21" s="7">
        <v>12</v>
      </c>
      <c r="D21" s="7">
        <v>110.46162165898198</v>
      </c>
      <c r="E21" s="7">
        <v>86.901720422927269</v>
      </c>
      <c r="F21" s="7">
        <v>81.61914737641743</v>
      </c>
      <c r="G21" s="7">
        <v>84.64451204042183</v>
      </c>
    </row>
    <row r="22" spans="1:15">
      <c r="A22" s="5">
        <v>40422</v>
      </c>
      <c r="B22" s="7">
        <v>63.033412198561329</v>
      </c>
      <c r="C22" s="7">
        <v>12</v>
      </c>
      <c r="D22" s="7">
        <v>110.51291769110256</v>
      </c>
      <c r="E22" s="7">
        <v>86.960281061801197</v>
      </c>
      <c r="F22" s="7">
        <v>81.670443408538006</v>
      </c>
      <c r="G22" s="7">
        <v>84.695808072542405</v>
      </c>
    </row>
    <row r="23" spans="1:15">
      <c r="A23" s="5">
        <v>40452</v>
      </c>
      <c r="B23" s="7">
        <v>63.085325829551891</v>
      </c>
      <c r="C23" s="7">
        <v>12</v>
      </c>
      <c r="D23" s="7">
        <v>110.56483132209311</v>
      </c>
      <c r="E23" s="7">
        <v>87.019546764651807</v>
      </c>
      <c r="F23" s="7">
        <v>81.722357039528561</v>
      </c>
      <c r="G23" s="7">
        <v>84.74772170353296</v>
      </c>
    </row>
    <row r="24" spans="1:15">
      <c r="A24" s="5">
        <v>40483</v>
      </c>
      <c r="B24" s="7">
        <v>63.137853243386289</v>
      </c>
      <c r="C24" s="7">
        <v>12</v>
      </c>
      <c r="D24" s="7">
        <v>110.61735873592752</v>
      </c>
      <c r="E24" s="7">
        <v>87.07951317502264</v>
      </c>
      <c r="F24" s="7">
        <v>81.774884453362972</v>
      </c>
      <c r="G24" s="7">
        <v>84.800249117367372</v>
      </c>
    </row>
    <row r="25" spans="1:15">
      <c r="A25" s="5">
        <v>40513</v>
      </c>
      <c r="B25" s="7">
        <v>63.19100223404174</v>
      </c>
      <c r="C25" s="7">
        <v>12</v>
      </c>
      <c r="D25" s="7">
        <v>110.67050772658297</v>
      </c>
      <c r="E25" s="7">
        <v>87.1401891906835</v>
      </c>
      <c r="F25" s="7">
        <v>81.828033444018416</v>
      </c>
      <c r="G25" s="7">
        <v>84.853398108022816</v>
      </c>
    </row>
    <row r="26" spans="1:15">
      <c r="A26" s="5">
        <v>40544</v>
      </c>
      <c r="B26" s="7">
        <v>68.337232474124889</v>
      </c>
      <c r="C26" s="7">
        <v>12.46</v>
      </c>
      <c r="D26" s="7">
        <v>116.2139850712789</v>
      </c>
      <c r="E26" s="7">
        <v>92.29417296975241</v>
      </c>
      <c r="F26" s="7">
        <v>87.212576844032299</v>
      </c>
      <c r="G26" s="7">
        <v>90.347286845079608</v>
      </c>
    </row>
    <row r="27" spans="1:15">
      <c r="A27" s="5">
        <v>40575</v>
      </c>
      <c r="B27" s="7">
        <v>68.403352219222981</v>
      </c>
      <c r="C27" s="7">
        <v>12.46</v>
      </c>
      <c r="D27" s="7">
        <v>116.28010481637699</v>
      </c>
      <c r="E27" s="7">
        <v>92.368959009943055</v>
      </c>
      <c r="F27" s="7">
        <v>87.278696589130391</v>
      </c>
      <c r="G27" s="7">
        <v>90.413406590177701</v>
      </c>
    </row>
    <row r="28" spans="1:15">
      <c r="A28" s="5">
        <v>40603</v>
      </c>
      <c r="B28" s="7">
        <v>68.477578395823926</v>
      </c>
      <c r="C28" s="7">
        <v>12.46</v>
      </c>
      <c r="D28" s="7">
        <v>116.35433099297794</v>
      </c>
      <c r="E28" s="7">
        <v>92.452913989174164</v>
      </c>
      <c r="F28" s="7">
        <v>87.352922765731336</v>
      </c>
      <c r="G28" s="7">
        <v>90.487632766778646</v>
      </c>
    </row>
    <row r="29" spans="1:15">
      <c r="A29" s="5">
        <v>40634</v>
      </c>
      <c r="B29" s="7">
        <v>68.556283397917227</v>
      </c>
      <c r="C29" s="7">
        <v>12.46</v>
      </c>
      <c r="D29" s="7">
        <v>116.43303599507124</v>
      </c>
      <c r="E29" s="7">
        <v>92.541934832207104</v>
      </c>
      <c r="F29" s="7">
        <v>87.431627767824637</v>
      </c>
      <c r="G29" s="7">
        <v>90.566337768871946</v>
      </c>
    </row>
    <row r="30" spans="1:15">
      <c r="A30" s="5">
        <v>40664</v>
      </c>
      <c r="B30" s="7">
        <v>68.637018839389583</v>
      </c>
      <c r="C30" s="7">
        <v>12.46</v>
      </c>
      <c r="D30" s="7">
        <v>116.51377143654358</v>
      </c>
      <c r="E30" s="7">
        <v>92.633252243697498</v>
      </c>
      <c r="F30" s="7">
        <v>87.512363209296993</v>
      </c>
      <c r="G30" s="7">
        <v>90.647073210344303</v>
      </c>
    </row>
    <row r="31" spans="1:15">
      <c r="A31" s="5">
        <v>40695</v>
      </c>
      <c r="B31" s="7">
        <v>68.71976946627494</v>
      </c>
      <c r="C31" s="7">
        <v>12.46</v>
      </c>
      <c r="D31" s="7">
        <v>116.59652206342895</v>
      </c>
      <c r="E31" s="7">
        <v>92.726848970346524</v>
      </c>
      <c r="F31" s="7">
        <v>87.59511383618235</v>
      </c>
      <c r="G31" s="7">
        <v>90.729823837229659</v>
      </c>
    </row>
    <row r="32" spans="1:15">
      <c r="A32" s="5">
        <v>40725</v>
      </c>
      <c r="B32" s="7">
        <v>68.804560206359398</v>
      </c>
      <c r="C32" s="7">
        <v>12.46</v>
      </c>
      <c r="D32" s="7">
        <v>116.68131280351341</v>
      </c>
      <c r="E32" s="7">
        <v>92.82275320721773</v>
      </c>
      <c r="F32" s="7">
        <v>87.679904576266807</v>
      </c>
      <c r="G32" s="7">
        <v>90.814614577314117</v>
      </c>
    </row>
    <row r="33" spans="1:7">
      <c r="A33" s="5">
        <v>40756</v>
      </c>
      <c r="B33" s="7">
        <v>68.892821494035616</v>
      </c>
      <c r="C33" s="7">
        <v>12.46</v>
      </c>
      <c r="D33" s="7">
        <v>116.76957409118961</v>
      </c>
      <c r="E33" s="7">
        <v>92.92258287530916</v>
      </c>
      <c r="F33" s="7">
        <v>87.768165863943025</v>
      </c>
      <c r="G33" s="7">
        <v>90.902875864990335</v>
      </c>
    </row>
    <row r="34" spans="1:7">
      <c r="A34" s="5">
        <v>40787</v>
      </c>
      <c r="B34" s="7">
        <v>68.981711596836874</v>
      </c>
      <c r="C34" s="7">
        <v>12.46</v>
      </c>
      <c r="D34" s="7">
        <v>116.85846419399087</v>
      </c>
      <c r="E34" s="7">
        <v>93.023123777134842</v>
      </c>
      <c r="F34" s="7">
        <v>87.857055966744284</v>
      </c>
      <c r="G34" s="7">
        <v>90.991765967791594</v>
      </c>
    </row>
    <row r="35" spans="1:7">
      <c r="A35" s="5">
        <v>40817</v>
      </c>
      <c r="B35" s="7">
        <v>69.072657705786042</v>
      </c>
      <c r="C35" s="7">
        <v>12.46</v>
      </c>
      <c r="D35" s="7">
        <v>116.94941030294004</v>
      </c>
      <c r="E35" s="7">
        <v>93.125990165215512</v>
      </c>
      <c r="F35" s="7">
        <v>87.948002075693452</v>
      </c>
      <c r="G35" s="7">
        <v>91.082712076740762</v>
      </c>
    </row>
    <row r="36" spans="1:7">
      <c r="A36" s="5">
        <v>40848</v>
      </c>
      <c r="B36" s="7">
        <v>69.165645690591191</v>
      </c>
      <c r="C36" s="7">
        <v>12.46</v>
      </c>
      <c r="D36" s="7">
        <v>117.04239828774519</v>
      </c>
      <c r="E36" s="7">
        <v>93.231166057206153</v>
      </c>
      <c r="F36" s="7">
        <v>88.040990060498601</v>
      </c>
      <c r="G36" s="7">
        <v>91.175700061545911</v>
      </c>
    </row>
    <row r="37" spans="1:7">
      <c r="A37" s="5">
        <v>40878</v>
      </c>
      <c r="B37" s="7">
        <v>69.260701088301971</v>
      </c>
      <c r="C37" s="7">
        <v>12.46</v>
      </c>
      <c r="D37" s="7">
        <v>117.13745368545597</v>
      </c>
      <c r="E37" s="7">
        <v>93.33868033728983</v>
      </c>
      <c r="F37" s="7">
        <v>88.136045458209381</v>
      </c>
      <c r="G37" s="7">
        <v>91.270755459256691</v>
      </c>
    </row>
    <row r="38" spans="1:7">
      <c r="A38" s="5">
        <v>40909</v>
      </c>
      <c r="B38" s="7">
        <v>71.942269543949564</v>
      </c>
      <c r="C38" s="7">
        <v>13.11</v>
      </c>
      <c r="D38" s="7">
        <v>120.22347898074827</v>
      </c>
      <c r="E38" s="7">
        <v>96.033065213033581</v>
      </c>
      <c r="F38" s="7">
        <v>91.06025227771687</v>
      </c>
      <c r="G38" s="7">
        <v>94.306292151119976</v>
      </c>
    </row>
    <row r="39" spans="1:7">
      <c r="A39" s="5">
        <v>40940</v>
      </c>
      <c r="B39" s="7">
        <v>71.985901882005251</v>
      </c>
      <c r="C39" s="7">
        <v>13.11</v>
      </c>
      <c r="D39" s="7">
        <v>120.26711131880396</v>
      </c>
      <c r="E39" s="7">
        <v>96.082211036726349</v>
      </c>
      <c r="F39" s="7">
        <v>91.103884615772557</v>
      </c>
      <c r="G39" s="7">
        <v>94.349924489175663</v>
      </c>
    </row>
    <row r="40" spans="1:7">
      <c r="A40" s="5">
        <v>40969</v>
      </c>
      <c r="B40" s="7">
        <v>71.992894282416472</v>
      </c>
      <c r="C40" s="7">
        <v>13.11</v>
      </c>
      <c r="D40" s="7">
        <v>120.27410371921516</v>
      </c>
      <c r="E40" s="7">
        <v>96.090087013424167</v>
      </c>
      <c r="F40" s="7">
        <v>91.110877016183778</v>
      </c>
      <c r="G40" s="7">
        <v>94.356916889586898</v>
      </c>
    </row>
    <row r="41" spans="1:7">
      <c r="A41" s="5">
        <v>41000</v>
      </c>
      <c r="B41" s="7">
        <v>71.996964584380635</v>
      </c>
      <c r="C41" s="7">
        <v>13.11</v>
      </c>
      <c r="D41" s="7">
        <v>120.27817402117932</v>
      </c>
      <c r="E41" s="7">
        <v>96.094671648390374</v>
      </c>
      <c r="F41" s="7">
        <v>91.114947318147941</v>
      </c>
      <c r="G41" s="7">
        <v>94.360987191551061</v>
      </c>
    </row>
    <row r="42" spans="1:7">
      <c r="A42" s="5">
        <v>41030</v>
      </c>
      <c r="B42" s="7">
        <v>71.997928814383798</v>
      </c>
      <c r="C42" s="7">
        <v>13.11</v>
      </c>
      <c r="D42" s="7">
        <v>120.2791382511825</v>
      </c>
      <c r="E42" s="7">
        <v>96.095757720781776</v>
      </c>
      <c r="F42" s="7">
        <v>91.115911548151104</v>
      </c>
      <c r="G42" s="7">
        <v>94.36195142155421</v>
      </c>
    </row>
    <row r="43" spans="1:7">
      <c r="A43" s="5">
        <v>41061</v>
      </c>
      <c r="B43" s="7">
        <v>71.995821232036946</v>
      </c>
      <c r="C43" s="7">
        <v>13.11</v>
      </c>
      <c r="D43" s="7">
        <v>120.27703066883564</v>
      </c>
      <c r="E43" s="7">
        <v>96.093383819335017</v>
      </c>
      <c r="F43" s="7">
        <v>91.113803965804252</v>
      </c>
      <c r="G43" s="7">
        <v>94.359843839207372</v>
      </c>
    </row>
    <row r="44" spans="1:7">
      <c r="A44" s="5">
        <v>41091</v>
      </c>
      <c r="B44" s="7">
        <v>71.99060897946822</v>
      </c>
      <c r="C44" s="7">
        <v>13.11</v>
      </c>
      <c r="D44" s="7">
        <v>120.27181841626691</v>
      </c>
      <c r="E44" s="7">
        <v>96.087512934179657</v>
      </c>
      <c r="F44" s="7">
        <v>91.108591713235526</v>
      </c>
      <c r="G44" s="7">
        <v>94.354631586638646</v>
      </c>
    </row>
    <row r="45" spans="1:7">
      <c r="A45" s="5">
        <v>41122</v>
      </c>
      <c r="B45" s="7">
        <v>71.982157050819794</v>
      </c>
      <c r="C45" s="7">
        <v>13.11</v>
      </c>
      <c r="D45" s="7">
        <v>120.2633664876185</v>
      </c>
      <c r="E45" s="7">
        <v>96.077992999797758</v>
      </c>
      <c r="F45" s="7">
        <v>91.1001397845871</v>
      </c>
      <c r="G45" s="7">
        <v>94.346179657990206</v>
      </c>
    </row>
    <row r="46" spans="1:7">
      <c r="A46" s="5">
        <v>41153</v>
      </c>
      <c r="B46" s="7">
        <v>71.970739802513904</v>
      </c>
      <c r="C46" s="7">
        <v>13.11</v>
      </c>
      <c r="D46" s="7">
        <v>120.25194923931261</v>
      </c>
      <c r="E46" s="7">
        <v>96.065133040939202</v>
      </c>
      <c r="F46" s="7">
        <v>91.08872253628121</v>
      </c>
      <c r="G46" s="7">
        <v>94.334762409684316</v>
      </c>
    </row>
    <row r="47" spans="1:7">
      <c r="A47" s="5">
        <v>41183</v>
      </c>
      <c r="B47" s="7">
        <v>71.956222993312466</v>
      </c>
      <c r="C47" s="7">
        <v>13.11</v>
      </c>
      <c r="D47" s="7">
        <v>120.23743243011117</v>
      </c>
      <c r="E47" s="7">
        <v>96.048781853324996</v>
      </c>
      <c r="F47" s="7">
        <v>91.074205727079772</v>
      </c>
      <c r="G47" s="7">
        <v>94.320245600482878</v>
      </c>
    </row>
    <row r="48" spans="1:7">
      <c r="A48" s="5">
        <v>41214</v>
      </c>
      <c r="B48" s="7">
        <v>71.93864285250244</v>
      </c>
      <c r="C48" s="7">
        <v>13.11</v>
      </c>
      <c r="D48" s="7">
        <v>120.21985228930114</v>
      </c>
      <c r="E48" s="7">
        <v>96.028980244260623</v>
      </c>
      <c r="F48" s="7">
        <v>91.056625586269746</v>
      </c>
      <c r="G48" s="7">
        <v>94.302665459672852</v>
      </c>
    </row>
    <row r="49" spans="1:7">
      <c r="A49" s="5">
        <v>41244</v>
      </c>
      <c r="B49" s="7">
        <v>71.917968518664935</v>
      </c>
      <c r="C49" s="7">
        <v>13.11</v>
      </c>
      <c r="D49" s="7">
        <v>120.19917795546363</v>
      </c>
      <c r="E49" s="7">
        <v>96.005693452605172</v>
      </c>
      <c r="F49" s="7">
        <v>91.035951252432241</v>
      </c>
      <c r="G49" s="7">
        <v>94.281991125835361</v>
      </c>
    </row>
    <row r="50" spans="1:7">
      <c r="A50" s="5">
        <v>41275</v>
      </c>
      <c r="B50" s="7">
        <v>73.524999473916452</v>
      </c>
      <c r="C50" s="7">
        <v>13.39842</v>
      </c>
      <c r="D50" s="7">
        <v>121.80620891071516</v>
      </c>
      <c r="E50" s="7">
        <v>99.783886623988394</v>
      </c>
      <c r="F50" s="7">
        <v>92.642982207683758</v>
      </c>
      <c r="G50" s="7">
        <v>95.889022081086864</v>
      </c>
    </row>
    <row r="51" spans="1:7">
      <c r="A51" s="5">
        <v>41306</v>
      </c>
      <c r="B51" s="7">
        <v>73.524999473916452</v>
      </c>
      <c r="C51" s="7">
        <v>13.39842</v>
      </c>
      <c r="D51" s="7">
        <v>121.80620891071516</v>
      </c>
      <c r="E51" s="7">
        <v>99.783886623988394</v>
      </c>
      <c r="F51" s="7">
        <v>92.642982207683758</v>
      </c>
      <c r="G51" s="7">
        <v>95.889022081086864</v>
      </c>
    </row>
    <row r="52" spans="1:7">
      <c r="A52" s="5">
        <v>41334</v>
      </c>
      <c r="B52" s="7">
        <v>73.524999473916452</v>
      </c>
      <c r="C52" s="7">
        <v>13.39842</v>
      </c>
      <c r="D52" s="7">
        <v>121.80620891071516</v>
      </c>
      <c r="E52" s="7">
        <v>99.783886623988394</v>
      </c>
      <c r="F52" s="7">
        <v>92.642982207683758</v>
      </c>
      <c r="G52" s="7">
        <v>95.889022081086864</v>
      </c>
    </row>
    <row r="53" spans="1:7">
      <c r="A53" s="5">
        <v>41365</v>
      </c>
      <c r="B53" s="7">
        <v>73.524999473916452</v>
      </c>
      <c r="C53" s="7">
        <v>13.39842</v>
      </c>
      <c r="D53" s="7">
        <v>121.80620891071516</v>
      </c>
      <c r="E53" s="7">
        <v>99.783886623988394</v>
      </c>
      <c r="F53" s="7">
        <v>92.642982207683758</v>
      </c>
      <c r="G53" s="7">
        <v>95.889022081086864</v>
      </c>
    </row>
    <row r="54" spans="1:7">
      <c r="A54" s="5">
        <v>41395</v>
      </c>
      <c r="B54" s="7">
        <v>73.524999473916452</v>
      </c>
      <c r="C54" s="7">
        <v>13.39842</v>
      </c>
      <c r="D54" s="7">
        <v>121.80620891071516</v>
      </c>
      <c r="E54" s="7">
        <v>99.783886623988394</v>
      </c>
      <c r="F54" s="7">
        <v>92.642982207683758</v>
      </c>
      <c r="G54" s="7">
        <v>95.889022081086864</v>
      </c>
    </row>
    <row r="55" spans="1:7">
      <c r="A55" s="5">
        <v>41426</v>
      </c>
      <c r="B55" s="7">
        <v>73.524999473916452</v>
      </c>
      <c r="C55" s="7">
        <v>13.39842</v>
      </c>
      <c r="D55" s="7">
        <v>121.80620891071516</v>
      </c>
      <c r="E55" s="7">
        <v>99.783886623988394</v>
      </c>
      <c r="F55" s="7">
        <v>92.642982207683758</v>
      </c>
      <c r="G55" s="7">
        <v>95.889022081086864</v>
      </c>
    </row>
    <row r="56" spans="1:7">
      <c r="A56" s="5">
        <v>41456</v>
      </c>
      <c r="B56" s="7">
        <v>73.524999473916452</v>
      </c>
      <c r="C56" s="7">
        <v>13.39842</v>
      </c>
      <c r="D56" s="7">
        <v>121.80620891071516</v>
      </c>
      <c r="E56" s="7">
        <v>99.783886623988394</v>
      </c>
      <c r="F56" s="7">
        <v>92.642982207683758</v>
      </c>
      <c r="G56" s="7">
        <v>95.889022081086864</v>
      </c>
    </row>
    <row r="57" spans="1:7">
      <c r="A57" s="5">
        <v>41487</v>
      </c>
      <c r="B57" s="7">
        <v>73.524999473916452</v>
      </c>
      <c r="C57" s="7">
        <v>13.39842</v>
      </c>
      <c r="D57" s="7">
        <v>121.80620891071516</v>
      </c>
      <c r="E57" s="7">
        <v>99.783886623988394</v>
      </c>
      <c r="F57" s="7">
        <v>92.642982207683758</v>
      </c>
      <c r="G57" s="7">
        <v>95.889022081086864</v>
      </c>
    </row>
    <row r="58" spans="1:7">
      <c r="A58" s="5">
        <v>41518</v>
      </c>
      <c r="B58" s="7">
        <v>73.524999473916452</v>
      </c>
      <c r="C58" s="7">
        <v>13.39842</v>
      </c>
      <c r="D58" s="7">
        <v>121.80620891071516</v>
      </c>
      <c r="E58" s="7">
        <v>99.783886623988394</v>
      </c>
      <c r="F58" s="7">
        <v>92.642982207683758</v>
      </c>
      <c r="G58" s="7">
        <v>95.889022081086864</v>
      </c>
    </row>
    <row r="59" spans="1:7">
      <c r="A59" s="5">
        <v>41548</v>
      </c>
      <c r="B59" s="7">
        <v>73.524999473916452</v>
      </c>
      <c r="C59" s="7">
        <v>13.39842</v>
      </c>
      <c r="D59" s="7">
        <v>121.80620891071516</v>
      </c>
      <c r="E59" s="7">
        <v>99.783886623988394</v>
      </c>
      <c r="F59" s="7">
        <v>92.642982207683758</v>
      </c>
      <c r="G59" s="7">
        <v>95.889022081086864</v>
      </c>
    </row>
    <row r="60" spans="1:7">
      <c r="A60" s="5">
        <v>41579</v>
      </c>
      <c r="B60" s="7">
        <v>73.524999473916452</v>
      </c>
      <c r="C60" s="7">
        <v>13.39842</v>
      </c>
      <c r="D60" s="7">
        <v>121.80620891071516</v>
      </c>
      <c r="E60" s="7">
        <v>99.783886623988394</v>
      </c>
      <c r="F60" s="7">
        <v>92.642982207683758</v>
      </c>
      <c r="G60" s="7">
        <v>95.889022081086864</v>
      </c>
    </row>
    <row r="61" spans="1:7">
      <c r="A61" s="5">
        <v>41609</v>
      </c>
      <c r="B61" s="7">
        <v>73.524999473916452</v>
      </c>
      <c r="C61" s="7">
        <v>13.39842</v>
      </c>
      <c r="D61" s="7">
        <v>121.80620891071516</v>
      </c>
      <c r="E61" s="7">
        <v>99.783886623988394</v>
      </c>
      <c r="F61" s="7">
        <v>92.642982207683758</v>
      </c>
      <c r="G61" s="7">
        <v>95.889022081086864</v>
      </c>
    </row>
    <row r="62" spans="1:7">
      <c r="A62" s="5">
        <v>41640</v>
      </c>
      <c r="B62" s="7">
        <v>75.142549462342615</v>
      </c>
      <c r="C62" s="7">
        <v>13.69318524</v>
      </c>
      <c r="D62" s="7">
        <v>123.42375889914132</v>
      </c>
      <c r="E62" s="7">
        <v>101.40143661241456</v>
      </c>
      <c r="F62" s="7">
        <v>94.260532196109921</v>
      </c>
      <c r="G62" s="7">
        <v>97.506572069513027</v>
      </c>
    </row>
    <row r="63" spans="1:7">
      <c r="A63" s="5">
        <v>41671</v>
      </c>
      <c r="B63" s="7">
        <v>75.142549462342615</v>
      </c>
      <c r="C63" s="7">
        <v>13.69318524</v>
      </c>
      <c r="D63" s="7">
        <v>123.42375889914132</v>
      </c>
      <c r="E63" s="7">
        <v>101.40143661241456</v>
      </c>
      <c r="F63" s="7">
        <v>94.260532196109921</v>
      </c>
      <c r="G63" s="7">
        <v>97.506572069513027</v>
      </c>
    </row>
    <row r="64" spans="1:7">
      <c r="A64" s="5">
        <v>41699</v>
      </c>
      <c r="B64" s="7">
        <v>75.142549462342615</v>
      </c>
      <c r="C64" s="7">
        <v>13.69318524</v>
      </c>
      <c r="D64" s="7">
        <v>123.42375889914132</v>
      </c>
      <c r="E64" s="7">
        <v>101.40143661241456</v>
      </c>
      <c r="F64" s="7">
        <v>94.260532196109921</v>
      </c>
      <c r="G64" s="7">
        <v>97.506572069513027</v>
      </c>
    </row>
    <row r="65" spans="1:7">
      <c r="A65" s="5">
        <v>41730</v>
      </c>
      <c r="B65" s="7">
        <v>75.142549462342615</v>
      </c>
      <c r="C65" s="7">
        <v>13.69318524</v>
      </c>
      <c r="D65" s="7">
        <v>123.42375889914132</v>
      </c>
      <c r="E65" s="7">
        <v>101.40143661241456</v>
      </c>
      <c r="F65" s="7">
        <v>94.260532196109921</v>
      </c>
      <c r="G65" s="7">
        <v>97.506572069513027</v>
      </c>
    </row>
    <row r="66" spans="1:7">
      <c r="A66" s="5">
        <v>41760</v>
      </c>
      <c r="B66" s="7">
        <v>75.142549462342615</v>
      </c>
      <c r="C66" s="7">
        <v>13.69318524</v>
      </c>
      <c r="D66" s="7">
        <v>123.42375889914132</v>
      </c>
      <c r="E66" s="7">
        <v>101.40143661241456</v>
      </c>
      <c r="F66" s="7">
        <v>94.260532196109921</v>
      </c>
      <c r="G66" s="7">
        <v>97.506572069513027</v>
      </c>
    </row>
    <row r="67" spans="1:7">
      <c r="A67" s="5">
        <v>41791</v>
      </c>
      <c r="B67" s="7">
        <v>75.142549462342615</v>
      </c>
      <c r="C67" s="7">
        <v>13.69318524</v>
      </c>
      <c r="D67" s="7">
        <v>123.42375889914132</v>
      </c>
      <c r="E67" s="7">
        <v>101.40143661241456</v>
      </c>
      <c r="F67" s="7">
        <v>94.260532196109921</v>
      </c>
      <c r="G67" s="7">
        <v>97.506572069513027</v>
      </c>
    </row>
    <row r="68" spans="1:7">
      <c r="A68" s="5">
        <v>41821</v>
      </c>
      <c r="B68" s="7">
        <v>75.142549462342615</v>
      </c>
      <c r="C68" s="7">
        <v>13.69318524</v>
      </c>
      <c r="D68" s="7">
        <v>123.42375889914132</v>
      </c>
      <c r="E68" s="7">
        <v>101.40143661241456</v>
      </c>
      <c r="F68" s="7">
        <v>94.260532196109921</v>
      </c>
      <c r="G68" s="7">
        <v>97.506572069513027</v>
      </c>
    </row>
    <row r="69" spans="1:7">
      <c r="A69" s="5">
        <v>41852</v>
      </c>
      <c r="B69" s="7">
        <v>75.142549462342615</v>
      </c>
      <c r="C69" s="7">
        <v>13.69318524</v>
      </c>
      <c r="D69" s="7">
        <v>123.42375889914132</v>
      </c>
      <c r="E69" s="7">
        <v>101.40143661241456</v>
      </c>
      <c r="F69" s="7">
        <v>94.260532196109921</v>
      </c>
      <c r="G69" s="7">
        <v>97.506572069513027</v>
      </c>
    </row>
    <row r="70" spans="1:7">
      <c r="A70" s="5">
        <v>41883</v>
      </c>
      <c r="B70" s="7">
        <v>75.142549462342615</v>
      </c>
      <c r="C70" s="7">
        <v>13.69318524</v>
      </c>
      <c r="D70" s="7">
        <v>123.42375889914132</v>
      </c>
      <c r="E70" s="7">
        <v>101.40143661241456</v>
      </c>
      <c r="F70" s="7">
        <v>94.260532196109921</v>
      </c>
      <c r="G70" s="7">
        <v>97.506572069513027</v>
      </c>
    </row>
    <row r="71" spans="1:7">
      <c r="A71" s="5">
        <v>41913</v>
      </c>
      <c r="B71" s="7">
        <v>75.142549462342615</v>
      </c>
      <c r="C71" s="7">
        <v>13.69318524</v>
      </c>
      <c r="D71" s="7">
        <v>123.42375889914132</v>
      </c>
      <c r="E71" s="7">
        <v>101.40143661241456</v>
      </c>
      <c r="F71" s="7">
        <v>94.260532196109921</v>
      </c>
      <c r="G71" s="7">
        <v>97.506572069513027</v>
      </c>
    </row>
    <row r="72" spans="1:7">
      <c r="A72" s="5">
        <v>41944</v>
      </c>
      <c r="B72" s="7">
        <v>75.142549462342615</v>
      </c>
      <c r="C72" s="7">
        <v>13.69318524</v>
      </c>
      <c r="D72" s="7">
        <v>123.42375889914132</v>
      </c>
      <c r="E72" s="7">
        <v>101.40143661241456</v>
      </c>
      <c r="F72" s="7">
        <v>94.260532196109921</v>
      </c>
      <c r="G72" s="7">
        <v>97.506572069513027</v>
      </c>
    </row>
    <row r="73" spans="1:7">
      <c r="A73" s="5">
        <v>41974</v>
      </c>
      <c r="B73" s="7">
        <v>75.142549462342615</v>
      </c>
      <c r="C73" s="7">
        <v>13.69318524</v>
      </c>
      <c r="D73" s="7">
        <v>123.42375889914132</v>
      </c>
      <c r="E73" s="7">
        <v>101.40143661241456</v>
      </c>
      <c r="F73" s="7">
        <v>94.260532196109921</v>
      </c>
      <c r="G73" s="7">
        <v>97.506572069513027</v>
      </c>
    </row>
    <row r="74" spans="1:7">
      <c r="D74" s="7"/>
    </row>
    <row r="75" spans="1:7">
      <c r="D75" s="7"/>
    </row>
    <row r="76" spans="1:7">
      <c r="D76" s="7"/>
    </row>
    <row r="77" spans="1:7">
      <c r="D77" s="7"/>
    </row>
    <row r="78" spans="1:7">
      <c r="D78" s="7"/>
    </row>
    <row r="79" spans="1:7">
      <c r="D79" s="7"/>
    </row>
    <row r="80" spans="1:7">
      <c r="D80" s="7"/>
    </row>
    <row r="81" spans="4:4">
      <c r="D81" s="7"/>
    </row>
    <row r="82" spans="4:4">
      <c r="D82" s="7"/>
    </row>
    <row r="83" spans="4:4">
      <c r="D83" s="7"/>
    </row>
    <row r="84" spans="4:4">
      <c r="D84" s="7"/>
    </row>
    <row r="85" spans="4:4">
      <c r="D85" s="7"/>
    </row>
    <row r="86" spans="4:4">
      <c r="D86" s="7"/>
    </row>
    <row r="87" spans="4:4">
      <c r="D87" s="7"/>
    </row>
    <row r="88" spans="4:4">
      <c r="D88" s="7"/>
    </row>
    <row r="89" spans="4:4">
      <c r="D89" s="7"/>
    </row>
    <row r="90" spans="4:4">
      <c r="D90" s="7"/>
    </row>
    <row r="91" spans="4:4">
      <c r="D91" s="7"/>
    </row>
    <row r="92" spans="4:4">
      <c r="D92" s="7"/>
    </row>
    <row r="93" spans="4:4">
      <c r="D93" s="7"/>
    </row>
    <row r="94" spans="4:4">
      <c r="D94" s="7"/>
    </row>
    <row r="95" spans="4:4">
      <c r="D95" s="7"/>
    </row>
    <row r="96" spans="4:4">
      <c r="D96" s="7"/>
    </row>
    <row r="97" spans="4:4">
      <c r="D97" s="7"/>
    </row>
    <row r="98" spans="4:4">
      <c r="D98" s="7"/>
    </row>
    <row r="99" spans="4:4">
      <c r="D99" s="7"/>
    </row>
    <row r="100" spans="4:4">
      <c r="D100" s="7"/>
    </row>
    <row r="101" spans="4:4">
      <c r="D101" s="7"/>
    </row>
    <row r="102" spans="4:4">
      <c r="D102" s="7"/>
    </row>
    <row r="103" spans="4:4">
      <c r="D103" s="7"/>
    </row>
    <row r="104" spans="4:4">
      <c r="D104" s="7"/>
    </row>
    <row r="105" spans="4:4">
      <c r="D105" s="7"/>
    </row>
    <row r="106" spans="4:4">
      <c r="D106" s="7"/>
    </row>
    <row r="107" spans="4:4">
      <c r="D107" s="7"/>
    </row>
    <row r="108" spans="4:4">
      <c r="D108" s="7"/>
    </row>
    <row r="109" spans="4:4">
      <c r="D109" s="7"/>
    </row>
    <row r="110" spans="4:4">
      <c r="D110" s="7"/>
    </row>
    <row r="111" spans="4:4">
      <c r="D111" s="7"/>
    </row>
    <row r="112" spans="4:4">
      <c r="D112" s="7"/>
    </row>
    <row r="113" spans="4:4">
      <c r="D113" s="7"/>
    </row>
    <row r="114" spans="4:4">
      <c r="D114" s="7"/>
    </row>
    <row r="115" spans="4:4">
      <c r="D115" s="7"/>
    </row>
    <row r="116" spans="4:4">
      <c r="D116" s="7"/>
    </row>
    <row r="117" spans="4:4">
      <c r="D117" s="7"/>
    </row>
    <row r="118" spans="4:4">
      <c r="D118" s="7"/>
    </row>
    <row r="119" spans="4:4">
      <c r="D119" s="7"/>
    </row>
    <row r="120" spans="4:4">
      <c r="D120" s="7"/>
    </row>
    <row r="121" spans="4:4">
      <c r="D121" s="7"/>
    </row>
    <row r="122" spans="4:4">
      <c r="D122" s="7"/>
    </row>
    <row r="123" spans="4:4">
      <c r="D123" s="7"/>
    </row>
    <row r="124" spans="4:4">
      <c r="D124" s="7"/>
    </row>
    <row r="125" spans="4:4">
      <c r="D125" s="7"/>
    </row>
    <row r="126" spans="4:4">
      <c r="D126" s="7"/>
    </row>
    <row r="127" spans="4:4">
      <c r="D127" s="7"/>
    </row>
    <row r="128" spans="4:4">
      <c r="D128" s="7"/>
    </row>
    <row r="129" spans="4:4">
      <c r="D129" s="7"/>
    </row>
    <row r="130" spans="4:4">
      <c r="D130" s="7"/>
    </row>
    <row r="131" spans="4:4">
      <c r="D131" s="7"/>
    </row>
    <row r="132" spans="4:4">
      <c r="D132" s="7"/>
    </row>
    <row r="133" spans="4:4">
      <c r="D133" s="7"/>
    </row>
    <row r="134" spans="4:4">
      <c r="D134" s="7"/>
    </row>
    <row r="135" spans="4:4">
      <c r="D135" s="7"/>
    </row>
    <row r="136" spans="4:4">
      <c r="D136" s="7"/>
    </row>
    <row r="137" spans="4:4">
      <c r="D137" s="7"/>
    </row>
    <row r="138" spans="4:4">
      <c r="D138" s="7"/>
    </row>
    <row r="139" spans="4:4">
      <c r="D139" s="7"/>
    </row>
    <row r="140" spans="4:4">
      <c r="D140" s="7"/>
    </row>
    <row r="141" spans="4:4">
      <c r="D141" s="7"/>
    </row>
    <row r="142" spans="4:4">
      <c r="D142" s="7"/>
    </row>
    <row r="143" spans="4:4">
      <c r="D143" s="7"/>
    </row>
    <row r="144" spans="4:4">
      <c r="D144" s="7"/>
    </row>
    <row r="145" spans="4:4">
      <c r="D145" s="7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47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showGridLines="0" workbookViewId="0">
      <selection sqref="A1:F1048576"/>
    </sheetView>
  </sheetViews>
  <sheetFormatPr baseColWidth="10" defaultRowHeight="12.75"/>
  <cols>
    <col min="1" max="1" width="10.42578125" style="1" bestFit="1" customWidth="1"/>
    <col min="2" max="2" width="29.7109375" style="1" bestFit="1" customWidth="1"/>
    <col min="3" max="3" width="9" style="1" bestFit="1" customWidth="1"/>
    <col min="4" max="4" width="11.42578125" style="1"/>
    <col min="5" max="5" width="13.28515625" style="1" bestFit="1" customWidth="1"/>
    <col min="6" max="6" width="12" style="1" bestFit="1" customWidth="1"/>
    <col min="7" max="16384" width="11.42578125" style="1"/>
  </cols>
  <sheetData>
    <row r="1" spans="1:6">
      <c r="A1" s="61" t="s">
        <v>36</v>
      </c>
      <c r="B1" s="62" t="s">
        <v>35</v>
      </c>
      <c r="C1" s="62" t="s">
        <v>0</v>
      </c>
      <c r="D1" s="63" t="s">
        <v>2</v>
      </c>
      <c r="E1" s="62" t="s">
        <v>37</v>
      </c>
      <c r="F1" s="64" t="s">
        <v>38</v>
      </c>
    </row>
    <row r="2" spans="1:6">
      <c r="A2" s="58">
        <v>2009</v>
      </c>
      <c r="B2" s="59">
        <f>Data_Lucy!O2</f>
        <v>20036.2566272</v>
      </c>
      <c r="C2" s="54"/>
      <c r="D2" s="60">
        <f>B2+C2</f>
        <v>20036.2566272</v>
      </c>
      <c r="E2" s="54"/>
      <c r="F2" s="65">
        <f>D2+E2</f>
        <v>20036.2566272</v>
      </c>
    </row>
    <row r="3" spans="1:6">
      <c r="A3" s="56">
        <v>2010</v>
      </c>
      <c r="B3" s="59">
        <f>Data_Lucy!O3</f>
        <v>11492.101279999999</v>
      </c>
      <c r="C3" s="52"/>
      <c r="D3" s="60">
        <f t="shared" ref="D3:D6" si="0">B3+C3</f>
        <v>11492.101279999999</v>
      </c>
      <c r="E3" s="52"/>
      <c r="F3" s="65">
        <f t="shared" ref="F3:F6" si="1">D3+E3</f>
        <v>11492.101279999999</v>
      </c>
    </row>
    <row r="4" spans="1:6">
      <c r="A4" s="56">
        <v>2011</v>
      </c>
      <c r="B4" s="59">
        <f>Data_Lucy!O4</f>
        <v>8457.1099195999996</v>
      </c>
      <c r="C4" s="52"/>
      <c r="D4" s="60">
        <f t="shared" si="0"/>
        <v>8457.1099195999996</v>
      </c>
      <c r="E4" s="52"/>
      <c r="F4" s="65">
        <f t="shared" si="1"/>
        <v>8457.1099195999996</v>
      </c>
    </row>
    <row r="5" spans="1:6">
      <c r="A5" s="56">
        <v>2012</v>
      </c>
      <c r="B5" s="59">
        <f>Data_Lucy!O5</f>
        <v>8086.9478848000008</v>
      </c>
      <c r="C5" s="52"/>
      <c r="D5" s="60">
        <f t="shared" si="0"/>
        <v>8086.9478848000008</v>
      </c>
      <c r="E5" s="52"/>
      <c r="F5" s="65">
        <f t="shared" si="1"/>
        <v>8086.9478848000008</v>
      </c>
    </row>
    <row r="6" spans="1:6">
      <c r="A6" s="56">
        <v>2013</v>
      </c>
      <c r="B6" s="59">
        <f>Data_Lucy!O6</f>
        <v>10193.672131099998</v>
      </c>
      <c r="C6" s="52"/>
      <c r="D6" s="60">
        <f t="shared" si="0"/>
        <v>10193.672131099998</v>
      </c>
      <c r="E6" s="52"/>
      <c r="F6" s="65">
        <f t="shared" si="1"/>
        <v>10193.672131099998</v>
      </c>
    </row>
    <row r="7" spans="1:6" ht="13.5" thickBot="1">
      <c r="A7" s="57">
        <v>2014</v>
      </c>
      <c r="B7" s="59">
        <f>Data_Lucy!O7</f>
        <v>5772.101153999999</v>
      </c>
      <c r="C7" s="55"/>
      <c r="D7" s="60">
        <f t="shared" ref="D7" si="2">B7+C7</f>
        <v>5772.101153999999</v>
      </c>
      <c r="E7" s="55"/>
      <c r="F7" s="65">
        <f t="shared" ref="F7" si="3">D7+E7</f>
        <v>5772.101153999999</v>
      </c>
    </row>
    <row r="8" spans="1:6" ht="6.75" customHeight="1"/>
    <row r="9" spans="1:6" ht="6.75" customHeight="1" thickBot="1"/>
    <row r="10" spans="1:6">
      <c r="A10" s="61" t="s">
        <v>40</v>
      </c>
      <c r="B10" s="62" t="s">
        <v>35</v>
      </c>
      <c r="C10" s="62" t="s">
        <v>0</v>
      </c>
      <c r="D10" s="63" t="s">
        <v>2</v>
      </c>
      <c r="E10" s="62" t="s">
        <v>1</v>
      </c>
      <c r="F10" s="64" t="s">
        <v>3</v>
      </c>
    </row>
    <row r="11" spans="1:6">
      <c r="A11" s="58">
        <v>2009</v>
      </c>
      <c r="B11" s="59">
        <f>Data_Lucy!O10</f>
        <v>27266.9904876</v>
      </c>
      <c r="C11" s="54"/>
      <c r="D11" s="60">
        <f>B11+C11</f>
        <v>27266.9904876</v>
      </c>
      <c r="E11" s="54"/>
      <c r="F11" s="65">
        <f>D11+E11</f>
        <v>27266.9904876</v>
      </c>
    </row>
    <row r="12" spans="1:6">
      <c r="A12" s="56">
        <v>2010</v>
      </c>
      <c r="B12" s="59">
        <f>Data_Lucy!O11</f>
        <v>16020.610035999998</v>
      </c>
      <c r="C12" s="52"/>
      <c r="D12" s="60">
        <f t="shared" ref="D12:D15" si="4">B12+C12</f>
        <v>16020.610035999998</v>
      </c>
      <c r="E12" s="52"/>
      <c r="F12" s="65">
        <f t="shared" ref="F12:F15" si="5">D12+E12</f>
        <v>16020.610035999998</v>
      </c>
    </row>
    <row r="13" spans="1:6">
      <c r="A13" s="56">
        <v>2011</v>
      </c>
      <c r="B13" s="59">
        <f>Data_Lucy!O12</f>
        <v>13272.421542800001</v>
      </c>
      <c r="C13" s="52"/>
      <c r="D13" s="60">
        <f t="shared" si="4"/>
        <v>13272.421542800001</v>
      </c>
      <c r="E13" s="52"/>
      <c r="F13" s="65">
        <f t="shared" si="5"/>
        <v>13272.421542800001</v>
      </c>
    </row>
    <row r="14" spans="1:6">
      <c r="A14" s="56">
        <v>2012</v>
      </c>
      <c r="B14" s="59">
        <f>Data_Lucy!O13</f>
        <v>13715.455188800001</v>
      </c>
      <c r="C14" s="52"/>
      <c r="D14" s="60">
        <f t="shared" si="4"/>
        <v>13715.455188800001</v>
      </c>
      <c r="E14" s="52"/>
      <c r="F14" s="65">
        <f t="shared" si="5"/>
        <v>13715.455188800001</v>
      </c>
    </row>
    <row r="15" spans="1:6">
      <c r="A15" s="56">
        <v>2013</v>
      </c>
      <c r="B15" s="59">
        <f>Data_Lucy!O14</f>
        <v>15376.133657300001</v>
      </c>
      <c r="C15" s="52"/>
      <c r="D15" s="60">
        <f t="shared" si="4"/>
        <v>15376.133657300001</v>
      </c>
      <c r="E15" s="52"/>
      <c r="F15" s="65">
        <f t="shared" si="5"/>
        <v>15376.133657300001</v>
      </c>
    </row>
    <row r="16" spans="1:6">
      <c r="A16" s="56">
        <v>2014</v>
      </c>
      <c r="B16" s="59">
        <f>Data_Lucy!O15</f>
        <v>8600.5230756499986</v>
      </c>
      <c r="C16" s="55"/>
      <c r="D16" s="60">
        <f t="shared" ref="D16" si="6">B16+C16</f>
        <v>8600.5230756499986</v>
      </c>
      <c r="E16" s="52"/>
      <c r="F16" s="65">
        <f t="shared" ref="F16" si="7">D16+E16</f>
        <v>8600.5230756499986</v>
      </c>
    </row>
    <row r="17" spans="1:6" ht="6.75" customHeight="1"/>
    <row r="18" spans="1:6" ht="6.75" customHeight="1" thickBot="1"/>
    <row r="19" spans="1:6">
      <c r="A19" s="61" t="s">
        <v>41</v>
      </c>
      <c r="B19" s="62" t="s">
        <v>35</v>
      </c>
      <c r="C19" s="62" t="s">
        <v>0</v>
      </c>
      <c r="D19" s="63" t="s">
        <v>2</v>
      </c>
      <c r="E19" s="62" t="s">
        <v>1</v>
      </c>
      <c r="F19" s="64" t="s">
        <v>3</v>
      </c>
    </row>
    <row r="20" spans="1:6">
      <c r="A20" s="58">
        <v>2009</v>
      </c>
      <c r="B20" s="59">
        <f>Data_Lucy!O18</f>
        <v>23570.6584644</v>
      </c>
      <c r="C20" s="54"/>
      <c r="D20" s="60">
        <f>B20+C20</f>
        <v>23570.6584644</v>
      </c>
      <c r="E20" s="54"/>
      <c r="F20" s="65">
        <f>D20+E20</f>
        <v>23570.6584644</v>
      </c>
    </row>
    <row r="21" spans="1:6">
      <c r="A21" s="56">
        <v>2010</v>
      </c>
      <c r="B21" s="59">
        <f>Data_Lucy!O19</f>
        <v>13482.7050064</v>
      </c>
      <c r="C21" s="52"/>
      <c r="D21" s="60">
        <f t="shared" ref="D21:D24" si="8">B21+C21</f>
        <v>13482.7050064</v>
      </c>
      <c r="E21" s="52"/>
      <c r="F21" s="65">
        <f t="shared" ref="F21:F24" si="9">D21+E21</f>
        <v>13482.7050064</v>
      </c>
    </row>
    <row r="22" spans="1:6">
      <c r="A22" s="56">
        <v>2011</v>
      </c>
      <c r="B22" s="59">
        <f>Data_Lucy!O20</f>
        <v>10664.284868400002</v>
      </c>
      <c r="C22" s="52"/>
      <c r="D22" s="60">
        <f t="shared" si="8"/>
        <v>10664.284868400002</v>
      </c>
      <c r="E22" s="52"/>
      <c r="F22" s="65">
        <f t="shared" si="9"/>
        <v>10664.284868400002</v>
      </c>
    </row>
    <row r="23" spans="1:6">
      <c r="A23" s="56">
        <v>2012</v>
      </c>
      <c r="B23" s="59">
        <f>Data_Lucy!O21</f>
        <v>10774.7975508</v>
      </c>
      <c r="C23" s="52"/>
      <c r="D23" s="60">
        <f t="shared" si="8"/>
        <v>10774.7975508</v>
      </c>
      <c r="E23" s="52"/>
      <c r="F23" s="65">
        <f t="shared" si="9"/>
        <v>10774.7975508</v>
      </c>
    </row>
    <row r="24" spans="1:6">
      <c r="A24" s="56">
        <v>2013</v>
      </c>
      <c r="B24" s="59">
        <f>Data_Lucy!O22</f>
        <v>12663.38367015</v>
      </c>
      <c r="C24" s="52"/>
      <c r="D24" s="60">
        <f t="shared" si="8"/>
        <v>12663.38367015</v>
      </c>
      <c r="E24" s="52"/>
      <c r="F24" s="65">
        <f t="shared" si="9"/>
        <v>12663.38367015</v>
      </c>
    </row>
    <row r="25" spans="1:6">
      <c r="A25" s="56">
        <v>2014</v>
      </c>
      <c r="B25" s="59">
        <f>Data_Lucy!O23</f>
        <v>7107.9256871500002</v>
      </c>
      <c r="C25" s="55"/>
      <c r="D25" s="60">
        <f t="shared" ref="D25" si="10">B25+C25</f>
        <v>7107.9256871500002</v>
      </c>
      <c r="E25" s="52"/>
      <c r="F25" s="65">
        <f t="shared" ref="F25" si="11">D25+E25</f>
        <v>7107.9256871500002</v>
      </c>
    </row>
    <row r="26" spans="1:6" ht="9.75" customHeight="1"/>
    <row r="27" spans="1:6" ht="4.5" customHeight="1" thickBot="1"/>
    <row r="28" spans="1:6">
      <c r="A28" s="61" t="s">
        <v>42</v>
      </c>
      <c r="B28" s="62" t="s">
        <v>35</v>
      </c>
      <c r="C28" s="62" t="s">
        <v>0</v>
      </c>
      <c r="D28" s="63" t="s">
        <v>2</v>
      </c>
      <c r="E28" s="62" t="s">
        <v>1</v>
      </c>
      <c r="F28" s="64" t="s">
        <v>3</v>
      </c>
    </row>
    <row r="29" spans="1:6">
      <c r="A29" s="58">
        <v>2009</v>
      </c>
      <c r="B29" s="59">
        <f>Data_Lucy!O26</f>
        <v>16874.42856</v>
      </c>
      <c r="C29" s="54"/>
      <c r="D29" s="60">
        <f>B29+C29</f>
        <v>16874.42856</v>
      </c>
      <c r="E29" s="54"/>
      <c r="F29" s="65">
        <f>D29+E29</f>
        <v>16874.42856</v>
      </c>
    </row>
    <row r="30" spans="1:6">
      <c r="A30" s="56">
        <v>2010</v>
      </c>
      <c r="B30" s="59">
        <f>Data_Lucy!O27</f>
        <v>9826.4912292000008</v>
      </c>
      <c r="C30" s="52"/>
      <c r="D30" s="60">
        <f t="shared" ref="D30:D33" si="12">B30+C30</f>
        <v>9826.4912292000008</v>
      </c>
      <c r="E30" s="52"/>
      <c r="F30" s="65">
        <f t="shared" ref="F30:F33" si="13">D30+E30</f>
        <v>9826.4912292000008</v>
      </c>
    </row>
    <row r="31" spans="1:6">
      <c r="A31" s="56">
        <v>2011</v>
      </c>
      <c r="B31" s="59">
        <f>Data_Lucy!O28</f>
        <v>6758.5469620000003</v>
      </c>
      <c r="C31" s="52"/>
      <c r="D31" s="60">
        <f t="shared" si="12"/>
        <v>6758.5469620000003</v>
      </c>
      <c r="E31" s="52"/>
      <c r="F31" s="65">
        <f t="shared" si="13"/>
        <v>6758.5469620000003</v>
      </c>
    </row>
    <row r="32" spans="1:6">
      <c r="A32" s="56">
        <v>2012</v>
      </c>
      <c r="B32" s="59">
        <f>Data_Lucy!O29</f>
        <v>5950.4772660000008</v>
      </c>
      <c r="C32" s="52"/>
      <c r="D32" s="60">
        <f t="shared" si="12"/>
        <v>5950.4772660000008</v>
      </c>
      <c r="E32" s="52"/>
      <c r="F32" s="65">
        <f t="shared" si="13"/>
        <v>5950.4772660000008</v>
      </c>
    </row>
    <row r="33" spans="1:6">
      <c r="A33" s="56">
        <v>2013</v>
      </c>
      <c r="B33" s="59">
        <f>Data_Lucy!O30</f>
        <v>7955.5646757500008</v>
      </c>
      <c r="C33" s="52"/>
      <c r="D33" s="60">
        <f t="shared" si="12"/>
        <v>7955.5646757500008</v>
      </c>
      <c r="E33" s="52"/>
      <c r="F33" s="65">
        <f t="shared" si="13"/>
        <v>7955.5646757500008</v>
      </c>
    </row>
    <row r="34" spans="1:6">
      <c r="A34" s="56">
        <v>2014</v>
      </c>
      <c r="B34" s="59">
        <f>Data_Lucy!O31</f>
        <v>4553.9953447999997</v>
      </c>
      <c r="C34" s="55"/>
      <c r="D34" s="60">
        <f t="shared" ref="D34" si="14">B34+C34</f>
        <v>4553.9953447999997</v>
      </c>
      <c r="E34" s="52"/>
      <c r="F34" s="65">
        <f t="shared" ref="F34" si="15">D34+E34</f>
        <v>4553.9953447999997</v>
      </c>
    </row>
    <row r="35" spans="1:6" ht="6.75" customHeight="1"/>
    <row r="36" spans="1:6" ht="6.75" customHeight="1" thickBot="1"/>
    <row r="37" spans="1:6" ht="14.25" customHeight="1">
      <c r="A37" s="61" t="s">
        <v>43</v>
      </c>
      <c r="B37" s="62" t="s">
        <v>35</v>
      </c>
      <c r="C37" s="62" t="s">
        <v>0</v>
      </c>
      <c r="D37" s="63" t="s">
        <v>2</v>
      </c>
      <c r="E37" s="62" t="s">
        <v>1</v>
      </c>
      <c r="F37" s="64" t="s">
        <v>3</v>
      </c>
    </row>
    <row r="38" spans="1:6">
      <c r="A38" s="58">
        <v>2009</v>
      </c>
      <c r="B38" s="59">
        <f>Data_Lucy!O35</f>
        <v>14184.291080000001</v>
      </c>
      <c r="C38" s="54"/>
      <c r="D38" s="60">
        <f>B38+C38</f>
        <v>14184.291080000001</v>
      </c>
      <c r="E38" s="54"/>
      <c r="F38" s="65">
        <f>D38+E38</f>
        <v>14184.291080000001</v>
      </c>
    </row>
    <row r="39" spans="1:6">
      <c r="A39" s="56">
        <v>2010</v>
      </c>
      <c r="B39" s="59">
        <f>Data_Lucy!O36</f>
        <v>8534.1450599999989</v>
      </c>
      <c r="C39" s="52"/>
      <c r="D39" s="60">
        <f t="shared" ref="D39:D42" si="16">B39+C39</f>
        <v>8534.1450599999989</v>
      </c>
      <c r="E39" s="52"/>
      <c r="F39" s="65">
        <f t="shared" ref="F39:F42" si="17">D39+E39</f>
        <v>8534.1450599999989</v>
      </c>
    </row>
    <row r="40" spans="1:6">
      <c r="A40" s="56">
        <v>2011</v>
      </c>
      <c r="B40" s="59">
        <f>Data_Lucy!O37</f>
        <v>5461.7070236</v>
      </c>
      <c r="C40" s="52"/>
      <c r="D40" s="60">
        <f t="shared" si="16"/>
        <v>5461.7070236</v>
      </c>
      <c r="E40" s="52"/>
      <c r="F40" s="65">
        <f t="shared" si="17"/>
        <v>5461.7070236</v>
      </c>
    </row>
    <row r="41" spans="1:6">
      <c r="A41" s="56">
        <v>2012</v>
      </c>
      <c r="B41" s="59">
        <f>Data_Lucy!O38</f>
        <v>4380.5992608000006</v>
      </c>
      <c r="C41" s="52"/>
      <c r="D41" s="60">
        <f t="shared" si="16"/>
        <v>4380.5992608000006</v>
      </c>
      <c r="E41" s="52"/>
      <c r="F41" s="65">
        <f t="shared" si="17"/>
        <v>4380.5992608000006</v>
      </c>
    </row>
    <row r="42" spans="1:6">
      <c r="A42" s="56">
        <v>2013</v>
      </c>
      <c r="B42" s="59">
        <f>Data_Lucy!O39</f>
        <v>5911.1826693000003</v>
      </c>
      <c r="C42" s="52"/>
      <c r="D42" s="60">
        <f t="shared" si="16"/>
        <v>5911.1826693000003</v>
      </c>
      <c r="E42" s="52"/>
      <c r="F42" s="65">
        <f t="shared" si="17"/>
        <v>5911.1826693000003</v>
      </c>
    </row>
    <row r="43" spans="1:6">
      <c r="A43" s="56">
        <v>2014</v>
      </c>
      <c r="B43" s="59">
        <f>Data_Lucy!O40</f>
        <v>3453.2396187500003</v>
      </c>
      <c r="C43" s="55"/>
      <c r="D43" s="60">
        <f t="shared" ref="D43" si="18">B43+C43</f>
        <v>3453.2396187500003</v>
      </c>
      <c r="E43" s="52"/>
      <c r="F43" s="65">
        <f t="shared" ref="F43" si="19">D43+E43</f>
        <v>3453.2396187500003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65" orientation="landscape" verticalDpi="0" r:id="rId1"/>
  <headerFooter alignWithMargins="0">
    <oddHeader>&amp;CLucy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Q12" sqref="Q12"/>
    </sheetView>
  </sheetViews>
  <sheetFormatPr baseColWidth="10" defaultRowHeight="12.75"/>
  <cols>
    <col min="1" max="2" width="10.7109375" style="1" customWidth="1"/>
    <col min="3" max="3" width="20.42578125" style="1" customWidth="1"/>
    <col min="4" max="4" width="10.7109375" style="1" customWidth="1"/>
    <col min="5" max="5" width="7.7109375" style="1" bestFit="1" customWidth="1"/>
    <col min="6" max="6" width="12.7109375" style="1" customWidth="1"/>
    <col min="7" max="7" width="10.7109375" style="1" customWidth="1"/>
    <col min="8" max="16384" width="11.42578125" style="1"/>
  </cols>
  <sheetData>
    <row r="1" spans="1:7" ht="32.25" customHeight="1">
      <c r="A1" s="61" t="s">
        <v>36</v>
      </c>
      <c r="B1" s="62" t="s">
        <v>35</v>
      </c>
      <c r="C1" s="86" t="s">
        <v>48</v>
      </c>
      <c r="D1" s="62" t="s">
        <v>0</v>
      </c>
      <c r="E1" s="63" t="s">
        <v>2</v>
      </c>
      <c r="F1" s="62" t="s">
        <v>37</v>
      </c>
      <c r="G1" s="64" t="s">
        <v>38</v>
      </c>
    </row>
    <row r="2" spans="1:7">
      <c r="A2" s="58">
        <v>2009</v>
      </c>
      <c r="B2" s="59">
        <f>Data_Provence_4!O2</f>
        <v>14742.437778901301</v>
      </c>
      <c r="C2" s="59">
        <v>15737.394</v>
      </c>
      <c r="D2" s="54"/>
      <c r="E2" s="60">
        <f>B2+C2+D2</f>
        <v>30479.831778901302</v>
      </c>
      <c r="F2" s="54"/>
      <c r="G2" s="65">
        <f>E2+F2</f>
        <v>30479.831778901302</v>
      </c>
    </row>
    <row r="3" spans="1:7">
      <c r="A3" s="56">
        <v>2010</v>
      </c>
      <c r="B3" s="59">
        <f>Data_Provence_4!O3</f>
        <v>12779.5942</v>
      </c>
      <c r="C3" s="59">
        <v>15427.104000000001</v>
      </c>
      <c r="D3" s="52"/>
      <c r="E3" s="60">
        <f t="shared" ref="E3:E7" si="0">B3+C3+D3</f>
        <v>28206.698199999999</v>
      </c>
      <c r="F3" s="52"/>
      <c r="G3" s="65">
        <f t="shared" ref="G3:G7" si="1">E3+F3</f>
        <v>28206.698199999999</v>
      </c>
    </row>
    <row r="4" spans="1:7">
      <c r="A4" s="56">
        <v>2011</v>
      </c>
      <c r="B4" s="59">
        <f>Data_Provence_4!O4</f>
        <v>9650.4466492895535</v>
      </c>
      <c r="C4" s="59">
        <v>15877.72</v>
      </c>
      <c r="D4" s="52"/>
      <c r="E4" s="60">
        <f t="shared" si="0"/>
        <v>25528.166649289553</v>
      </c>
      <c r="F4" s="52"/>
      <c r="G4" s="65">
        <f t="shared" si="1"/>
        <v>25528.166649289553</v>
      </c>
    </row>
    <row r="5" spans="1:7">
      <c r="A5" s="56">
        <v>2012</v>
      </c>
      <c r="B5" s="59">
        <f>Data_Provence_4!O5</f>
        <v>9031.1756496928301</v>
      </c>
      <c r="C5" s="59">
        <v>15760.4</v>
      </c>
      <c r="D5" s="52"/>
      <c r="E5" s="60">
        <f t="shared" si="0"/>
        <v>24791.57564969283</v>
      </c>
      <c r="F5" s="52"/>
      <c r="G5" s="65">
        <f t="shared" si="1"/>
        <v>24791.57564969283</v>
      </c>
    </row>
    <row r="6" spans="1:7">
      <c r="A6" s="56">
        <v>2013</v>
      </c>
      <c r="B6" s="59">
        <f>Data_Provence_4!O6</f>
        <v>11912.543108</v>
      </c>
      <c r="C6" s="59"/>
      <c r="D6" s="52"/>
      <c r="E6" s="60">
        <f t="shared" si="0"/>
        <v>11912.543108</v>
      </c>
      <c r="F6" s="52"/>
      <c r="G6" s="65">
        <f t="shared" si="1"/>
        <v>11912.543108</v>
      </c>
    </row>
    <row r="7" spans="1:7" ht="13.5" thickBot="1">
      <c r="A7" s="57">
        <v>2014</v>
      </c>
      <c r="B7" s="59">
        <f>Data_Provence_4!O7</f>
        <v>10742.185723999999</v>
      </c>
      <c r="C7" s="85"/>
      <c r="D7" s="55"/>
      <c r="E7" s="60">
        <f t="shared" si="0"/>
        <v>10742.185723999999</v>
      </c>
      <c r="F7" s="55"/>
      <c r="G7" s="65">
        <f t="shared" si="1"/>
        <v>10742.185723999999</v>
      </c>
    </row>
    <row r="8" spans="1:7" ht="6.75" customHeight="1"/>
    <row r="9" spans="1:7" ht="6.75" customHeight="1" thickBot="1"/>
    <row r="10" spans="1:7">
      <c r="A10" s="61" t="s">
        <v>40</v>
      </c>
      <c r="B10" s="62" t="s">
        <v>35</v>
      </c>
      <c r="C10" s="62"/>
      <c r="D10" s="62" t="s">
        <v>0</v>
      </c>
      <c r="E10" s="63" t="s">
        <v>2</v>
      </c>
      <c r="F10" s="62" t="s">
        <v>1</v>
      </c>
      <c r="G10" s="64" t="s">
        <v>3</v>
      </c>
    </row>
    <row r="11" spans="1:7">
      <c r="A11" s="58">
        <v>2009</v>
      </c>
      <c r="B11" s="59">
        <f>Data_Provence_4!O10</f>
        <v>18715.874381069698</v>
      </c>
      <c r="C11" s="59">
        <f>C2</f>
        <v>15737.394</v>
      </c>
      <c r="D11" s="54"/>
      <c r="E11" s="60">
        <f>B11+C11+D11</f>
        <v>34453.268381069698</v>
      </c>
      <c r="F11" s="54"/>
      <c r="G11" s="65">
        <f>E11+F11</f>
        <v>34453.268381069698</v>
      </c>
    </row>
    <row r="12" spans="1:7">
      <c r="A12" s="56">
        <v>2010</v>
      </c>
      <c r="B12" s="59">
        <f>Data_Provence_4!O11</f>
        <v>15715.220674000002</v>
      </c>
      <c r="C12" s="59">
        <f t="shared" ref="C12:C16" si="2">C3</f>
        <v>15427.104000000001</v>
      </c>
      <c r="D12" s="52"/>
      <c r="E12" s="60">
        <f t="shared" ref="E12:E16" si="3">B12+C12+D12</f>
        <v>31142.324674000003</v>
      </c>
      <c r="F12" s="52"/>
      <c r="G12" s="65">
        <f t="shared" ref="G12:G16" si="4">E12+F12</f>
        <v>31142.324674000003</v>
      </c>
    </row>
    <row r="13" spans="1:7">
      <c r="A13" s="56">
        <v>2011</v>
      </c>
      <c r="B13" s="59">
        <f>Data_Provence_4!O12</f>
        <v>13426.237193672809</v>
      </c>
      <c r="C13" s="59">
        <f t="shared" si="2"/>
        <v>15877.72</v>
      </c>
      <c r="D13" s="52"/>
      <c r="E13" s="60">
        <f t="shared" si="3"/>
        <v>29303.95719367281</v>
      </c>
      <c r="F13" s="52"/>
      <c r="G13" s="65">
        <f t="shared" si="4"/>
        <v>29303.95719367281</v>
      </c>
    </row>
    <row r="14" spans="1:7">
      <c r="A14" s="56">
        <v>2012</v>
      </c>
      <c r="B14" s="59">
        <f>Data_Provence_4!O13</f>
        <v>14115.418356803943</v>
      </c>
      <c r="C14" s="59">
        <f t="shared" si="2"/>
        <v>15760.4</v>
      </c>
      <c r="D14" s="52"/>
      <c r="E14" s="60">
        <f t="shared" si="3"/>
        <v>29875.818356803942</v>
      </c>
      <c r="F14" s="52"/>
      <c r="G14" s="65">
        <f t="shared" si="4"/>
        <v>29875.818356803942</v>
      </c>
    </row>
    <row r="15" spans="1:7">
      <c r="A15" s="56">
        <v>2013</v>
      </c>
      <c r="B15" s="59">
        <f>Data_Provence_4!O14</f>
        <v>16625.673724</v>
      </c>
      <c r="C15" s="59">
        <f t="shared" si="2"/>
        <v>0</v>
      </c>
      <c r="D15" s="52"/>
      <c r="E15" s="60">
        <f t="shared" si="3"/>
        <v>16625.673724</v>
      </c>
      <c r="F15" s="52"/>
      <c r="G15" s="65">
        <f t="shared" si="4"/>
        <v>16625.673724</v>
      </c>
    </row>
    <row r="16" spans="1:7">
      <c r="A16" s="56">
        <v>2014</v>
      </c>
      <c r="B16" s="59">
        <f>Data_Provence_4!O15</f>
        <v>16198.004542500001</v>
      </c>
      <c r="C16" s="59">
        <f t="shared" si="2"/>
        <v>0</v>
      </c>
      <c r="D16" s="55"/>
      <c r="E16" s="60">
        <f t="shared" si="3"/>
        <v>16198.004542500001</v>
      </c>
      <c r="F16" s="52"/>
      <c r="G16" s="65">
        <f t="shared" si="4"/>
        <v>16198.004542500001</v>
      </c>
    </row>
    <row r="17" spans="1:7" ht="6.75" customHeight="1"/>
    <row r="18" spans="1:7" ht="6.75" customHeight="1" thickBot="1"/>
    <row r="19" spans="1:7">
      <c r="A19" s="61" t="s">
        <v>41</v>
      </c>
      <c r="B19" s="62" t="s">
        <v>35</v>
      </c>
      <c r="C19" s="62"/>
      <c r="D19" s="62" t="s">
        <v>0</v>
      </c>
      <c r="E19" s="63" t="s">
        <v>2</v>
      </c>
      <c r="F19" s="62" t="s">
        <v>1</v>
      </c>
      <c r="G19" s="64" t="s">
        <v>3</v>
      </c>
    </row>
    <row r="20" spans="1:7">
      <c r="A20" s="58">
        <v>2009</v>
      </c>
      <c r="B20" s="59">
        <f>Data_Provence_4!O18</f>
        <v>16576.786687191092</v>
      </c>
      <c r="C20" s="59">
        <f>C11</f>
        <v>15737.394</v>
      </c>
      <c r="D20" s="54"/>
      <c r="E20" s="60">
        <f>B20+C20+D20</f>
        <v>32314.180687191092</v>
      </c>
      <c r="F20" s="54"/>
      <c r="G20" s="65">
        <f>E20+F20</f>
        <v>32314.180687191092</v>
      </c>
    </row>
    <row r="21" spans="1:7">
      <c r="A21" s="56">
        <v>2010</v>
      </c>
      <c r="B21" s="59">
        <f>Data_Provence_4!O19</f>
        <v>14780.137346000001</v>
      </c>
      <c r="C21" s="59">
        <f t="shared" ref="C21:C25" si="5">C12</f>
        <v>15427.104000000001</v>
      </c>
      <c r="D21" s="52"/>
      <c r="E21" s="60">
        <f t="shared" ref="E21:E25" si="6">B21+C21+D21</f>
        <v>30207.241346000003</v>
      </c>
      <c r="F21" s="52"/>
      <c r="G21" s="65">
        <f t="shared" ref="G21:G25" si="7">E21+F21</f>
        <v>30207.241346000003</v>
      </c>
    </row>
    <row r="22" spans="1:7">
      <c r="A22" s="56">
        <v>2011</v>
      </c>
      <c r="B22" s="59">
        <f>Data_Provence_4!O20</f>
        <v>11231.134076703052</v>
      </c>
      <c r="C22" s="59">
        <f t="shared" si="5"/>
        <v>15877.72</v>
      </c>
      <c r="D22" s="52"/>
      <c r="E22" s="60">
        <f t="shared" si="6"/>
        <v>27108.85407670305</v>
      </c>
      <c r="F22" s="52"/>
      <c r="G22" s="65">
        <f t="shared" si="7"/>
        <v>27108.85407670305</v>
      </c>
    </row>
    <row r="23" spans="1:7">
      <c r="A23" s="56">
        <v>2012</v>
      </c>
      <c r="B23" s="59">
        <f>Data_Provence_4!O21</f>
        <v>11063.991937219806</v>
      </c>
      <c r="C23" s="59">
        <f t="shared" si="5"/>
        <v>15760.4</v>
      </c>
      <c r="D23" s="52"/>
      <c r="E23" s="60">
        <f t="shared" si="6"/>
        <v>26824.391937219807</v>
      </c>
      <c r="F23" s="52"/>
      <c r="G23" s="65">
        <f t="shared" si="7"/>
        <v>26824.391937219807</v>
      </c>
    </row>
    <row r="24" spans="1:7">
      <c r="A24" s="56">
        <v>2013</v>
      </c>
      <c r="B24" s="59">
        <f>Data_Provence_4!O22</f>
        <v>14044.577333499999</v>
      </c>
      <c r="C24" s="59">
        <f t="shared" si="5"/>
        <v>0</v>
      </c>
      <c r="D24" s="52"/>
      <c r="E24" s="60">
        <f t="shared" si="6"/>
        <v>14044.577333499999</v>
      </c>
      <c r="F24" s="52"/>
      <c r="G24" s="65">
        <f t="shared" si="7"/>
        <v>14044.577333499999</v>
      </c>
    </row>
    <row r="25" spans="1:7">
      <c r="A25" s="56">
        <v>2014</v>
      </c>
      <c r="B25" s="59">
        <f>Data_Provence_4!O23</f>
        <v>13244.148451500003</v>
      </c>
      <c r="C25" s="59">
        <f t="shared" si="5"/>
        <v>0</v>
      </c>
      <c r="D25" s="55"/>
      <c r="E25" s="60">
        <f t="shared" si="6"/>
        <v>13244.148451500003</v>
      </c>
      <c r="F25" s="52"/>
      <c r="G25" s="65">
        <f t="shared" si="7"/>
        <v>13244.148451500003</v>
      </c>
    </row>
    <row r="26" spans="1:7" ht="9.75" customHeight="1"/>
    <row r="27" spans="1:7" ht="4.5" customHeight="1" thickBot="1"/>
    <row r="28" spans="1:7">
      <c r="A28" s="61" t="s">
        <v>42</v>
      </c>
      <c r="B28" s="62" t="s">
        <v>35</v>
      </c>
      <c r="C28" s="62"/>
      <c r="D28" s="62" t="s">
        <v>0</v>
      </c>
      <c r="E28" s="63" t="s">
        <v>2</v>
      </c>
      <c r="F28" s="62" t="s">
        <v>1</v>
      </c>
      <c r="G28" s="64" t="s">
        <v>3</v>
      </c>
    </row>
    <row r="29" spans="1:7">
      <c r="A29" s="58">
        <v>2009</v>
      </c>
      <c r="B29" s="59">
        <f>Data_Provence_4!O26</f>
        <v>12991.78974348896</v>
      </c>
      <c r="C29" s="59">
        <f>C20</f>
        <v>15737.394</v>
      </c>
      <c r="D29" s="54"/>
      <c r="E29" s="60">
        <f>B29+C29+D29</f>
        <v>28729.18374348896</v>
      </c>
      <c r="F29" s="54"/>
      <c r="G29" s="65">
        <f>E29+F29</f>
        <v>28729.18374348896</v>
      </c>
    </row>
    <row r="30" spans="1:7">
      <c r="A30" s="56">
        <v>2010</v>
      </c>
      <c r="B30" s="59">
        <f>Data_Provence_4!O27</f>
        <v>11434.433551999999</v>
      </c>
      <c r="C30" s="59">
        <f t="shared" ref="C30:C34" si="8">C21</f>
        <v>15427.104000000001</v>
      </c>
      <c r="D30" s="52"/>
      <c r="E30" s="60">
        <f t="shared" ref="E30:E34" si="9">B30+C30+D30</f>
        <v>26861.537552000002</v>
      </c>
      <c r="F30" s="52"/>
      <c r="G30" s="65">
        <f t="shared" ref="G30:G34" si="10">E30+F30</f>
        <v>26861.537552000002</v>
      </c>
    </row>
    <row r="31" spans="1:7">
      <c r="A31" s="56">
        <v>2011</v>
      </c>
      <c r="B31" s="59">
        <f>Data_Provence_4!O28</f>
        <v>7918.339189010333</v>
      </c>
      <c r="C31" s="59">
        <f t="shared" si="8"/>
        <v>15877.72</v>
      </c>
      <c r="D31" s="52"/>
      <c r="E31" s="60">
        <f t="shared" si="9"/>
        <v>23796.059189010331</v>
      </c>
      <c r="F31" s="52"/>
      <c r="G31" s="65">
        <f t="shared" si="10"/>
        <v>23796.059189010331</v>
      </c>
    </row>
    <row r="32" spans="1:7">
      <c r="A32" s="56">
        <v>2012</v>
      </c>
      <c r="B32" s="59">
        <f>Data_Provence_4!O29</f>
        <v>7187.7876012836741</v>
      </c>
      <c r="C32" s="59">
        <f t="shared" si="8"/>
        <v>15760.4</v>
      </c>
      <c r="D32" s="52"/>
      <c r="E32" s="60">
        <f t="shared" si="9"/>
        <v>22948.187601283673</v>
      </c>
      <c r="F32" s="52"/>
      <c r="G32" s="65">
        <f t="shared" si="10"/>
        <v>22948.187601283673</v>
      </c>
    </row>
    <row r="33" spans="1:7">
      <c r="A33" s="56">
        <v>2013</v>
      </c>
      <c r="B33" s="59">
        <f>Data_Provence_4!O30</f>
        <v>9490.6664800000017</v>
      </c>
      <c r="C33" s="59">
        <f t="shared" si="8"/>
        <v>0</v>
      </c>
      <c r="D33" s="52"/>
      <c r="E33" s="60">
        <f t="shared" si="9"/>
        <v>9490.6664800000017</v>
      </c>
      <c r="F33" s="52"/>
      <c r="G33" s="65">
        <f t="shared" si="10"/>
        <v>9490.6664800000017</v>
      </c>
    </row>
    <row r="34" spans="1:7">
      <c r="A34" s="56">
        <v>2014</v>
      </c>
      <c r="B34" s="59">
        <f>Data_Provence_4!O31</f>
        <v>8607.7975795000002</v>
      </c>
      <c r="C34" s="59">
        <f t="shared" si="8"/>
        <v>0</v>
      </c>
      <c r="D34" s="55"/>
      <c r="E34" s="60">
        <f t="shared" si="9"/>
        <v>8607.7975795000002</v>
      </c>
      <c r="F34" s="52"/>
      <c r="G34" s="65">
        <f t="shared" si="10"/>
        <v>8607.7975795000002</v>
      </c>
    </row>
    <row r="35" spans="1:7" ht="6.75" customHeight="1"/>
    <row r="36" spans="1:7" ht="6.75" customHeight="1" thickBot="1"/>
    <row r="37" spans="1:7" ht="14.25" customHeight="1">
      <c r="A37" s="61" t="s">
        <v>43</v>
      </c>
      <c r="B37" s="62" t="s">
        <v>35</v>
      </c>
      <c r="C37" s="62"/>
      <c r="D37" s="62" t="s">
        <v>0</v>
      </c>
      <c r="E37" s="63" t="s">
        <v>2</v>
      </c>
      <c r="F37" s="62" t="s">
        <v>1</v>
      </c>
      <c r="G37" s="64" t="s">
        <v>3</v>
      </c>
    </row>
    <row r="38" spans="1:7">
      <c r="A38" s="58">
        <v>2009</v>
      </c>
      <c r="B38" s="59">
        <f>Data_Provence_4!O35</f>
        <v>11080.922058612707</v>
      </c>
      <c r="C38" s="59">
        <f>C29</f>
        <v>15737.394</v>
      </c>
      <c r="D38" s="54"/>
      <c r="E38" s="60">
        <f>B38+C38+D38</f>
        <v>26818.316058612705</v>
      </c>
      <c r="F38" s="54"/>
      <c r="G38" s="65">
        <f>E38+F38</f>
        <v>26818.316058612705</v>
      </c>
    </row>
    <row r="39" spans="1:7">
      <c r="A39" s="56">
        <v>2010</v>
      </c>
      <c r="B39" s="59">
        <f>Data_Provence_4!O36</f>
        <v>10605.491766000001</v>
      </c>
      <c r="C39" s="59">
        <f t="shared" ref="C39:C43" si="11">C30</f>
        <v>15427.104000000001</v>
      </c>
      <c r="D39" s="52"/>
      <c r="E39" s="60">
        <f t="shared" ref="E39:E43" si="12">B39+C39+D39</f>
        <v>26032.595766000002</v>
      </c>
      <c r="F39" s="52"/>
      <c r="G39" s="65">
        <f t="shared" ref="G39:G43" si="13">E39+F39</f>
        <v>26032.595766000002</v>
      </c>
    </row>
    <row r="40" spans="1:7">
      <c r="A40" s="56">
        <v>2011</v>
      </c>
      <c r="B40" s="59">
        <f>Data_Provence_4!O37</f>
        <v>6427.0480602313746</v>
      </c>
      <c r="C40" s="59">
        <f t="shared" si="11"/>
        <v>15877.72</v>
      </c>
      <c r="D40" s="52"/>
      <c r="E40" s="60">
        <f t="shared" si="12"/>
        <v>22304.768060231374</v>
      </c>
      <c r="F40" s="52"/>
      <c r="G40" s="65">
        <f t="shared" si="13"/>
        <v>22304.768060231374</v>
      </c>
    </row>
    <row r="41" spans="1:7">
      <c r="A41" s="56">
        <v>2012</v>
      </c>
      <c r="B41" s="59">
        <f>Data_Provence_4!O38</f>
        <v>5358.44061812379</v>
      </c>
      <c r="C41" s="59">
        <f t="shared" si="11"/>
        <v>15760.4</v>
      </c>
      <c r="D41" s="52"/>
      <c r="E41" s="60">
        <f t="shared" si="12"/>
        <v>21118.840618123788</v>
      </c>
      <c r="F41" s="52"/>
      <c r="G41" s="65">
        <f t="shared" si="13"/>
        <v>21118.840618123788</v>
      </c>
    </row>
    <row r="42" spans="1:7">
      <c r="A42" s="56">
        <v>2013</v>
      </c>
      <c r="B42" s="59">
        <f>Data_Provence_4!O39</f>
        <v>7455.7407589999993</v>
      </c>
      <c r="C42" s="59">
        <f t="shared" si="11"/>
        <v>0</v>
      </c>
      <c r="D42" s="52"/>
      <c r="E42" s="60">
        <f t="shared" si="12"/>
        <v>7455.7407589999993</v>
      </c>
      <c r="F42" s="52"/>
      <c r="G42" s="65">
        <f t="shared" si="13"/>
        <v>7455.7407589999993</v>
      </c>
    </row>
    <row r="43" spans="1:7">
      <c r="A43" s="56">
        <v>2014</v>
      </c>
      <c r="B43" s="59">
        <f>Data_Provence_4!O40</f>
        <v>6598.3379415000018</v>
      </c>
      <c r="C43" s="59">
        <f t="shared" si="11"/>
        <v>0</v>
      </c>
      <c r="D43" s="55"/>
      <c r="E43" s="60">
        <f t="shared" si="12"/>
        <v>6598.3379415000018</v>
      </c>
      <c r="F43" s="52"/>
      <c r="G43" s="65">
        <f t="shared" si="13"/>
        <v>6598.3379415000018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verticalDpi="0" r:id="rId1"/>
  <headerFooter>
    <oddHeader>&amp;CProvence 4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M27" sqref="M27"/>
    </sheetView>
  </sheetViews>
  <sheetFormatPr baseColWidth="10" defaultRowHeight="12.75"/>
  <cols>
    <col min="1" max="1" width="10.42578125" style="1" bestFit="1" customWidth="1"/>
    <col min="2" max="2" width="29.7109375" style="1" bestFit="1" customWidth="1"/>
    <col min="3" max="3" width="9" style="1" bestFit="1" customWidth="1"/>
    <col min="4" max="4" width="11.42578125" style="1"/>
    <col min="5" max="5" width="13.28515625" style="1" bestFit="1" customWidth="1"/>
    <col min="6" max="6" width="12" style="1" bestFit="1" customWidth="1"/>
  </cols>
  <sheetData>
    <row r="1" spans="1:6">
      <c r="A1" s="61" t="s">
        <v>36</v>
      </c>
      <c r="B1" s="62" t="s">
        <v>35</v>
      </c>
      <c r="C1" s="62" t="s">
        <v>0</v>
      </c>
      <c r="D1" s="63" t="s">
        <v>2</v>
      </c>
      <c r="E1" s="62" t="s">
        <v>37</v>
      </c>
      <c r="F1" s="64" t="s">
        <v>38</v>
      </c>
    </row>
    <row r="2" spans="1:6">
      <c r="A2" s="58">
        <v>2009</v>
      </c>
      <c r="B2" s="59">
        <f>Data_Hornaing!O2</f>
        <v>16322.769245715172</v>
      </c>
      <c r="C2" s="54"/>
      <c r="D2" s="60">
        <f>B2+C2</f>
        <v>16322.769245715172</v>
      </c>
      <c r="E2" s="54"/>
      <c r="F2" s="65">
        <f>D2+E2</f>
        <v>16322.769245715172</v>
      </c>
    </row>
    <row r="3" spans="1:6">
      <c r="A3" s="56">
        <v>2010</v>
      </c>
      <c r="B3" s="59">
        <f>Data_Hornaing!O3</f>
        <v>12513.702746400002</v>
      </c>
      <c r="C3" s="52"/>
      <c r="D3" s="60">
        <f t="shared" ref="D3:D7" si="0">B3+C3</f>
        <v>12513.702746400002</v>
      </c>
      <c r="E3" s="52"/>
      <c r="F3" s="65">
        <f t="shared" ref="F3:F7" si="1">D3+E3</f>
        <v>12513.702746400002</v>
      </c>
    </row>
    <row r="4" spans="1:6">
      <c r="A4" s="56">
        <v>2011</v>
      </c>
      <c r="B4" s="59">
        <f>Data_Hornaing!O4</f>
        <v>10062.0468924</v>
      </c>
      <c r="C4" s="52"/>
      <c r="D4" s="60">
        <f t="shared" si="0"/>
        <v>10062.0468924</v>
      </c>
      <c r="E4" s="52"/>
      <c r="F4" s="65">
        <f t="shared" si="1"/>
        <v>10062.0468924</v>
      </c>
    </row>
    <row r="5" spans="1:6">
      <c r="A5" s="56">
        <v>2012</v>
      </c>
      <c r="B5" s="59">
        <f>Data_Hornaing!O5</f>
        <v>10902.535777225241</v>
      </c>
      <c r="C5" s="52"/>
      <c r="D5" s="60">
        <f t="shared" si="0"/>
        <v>10902.535777225241</v>
      </c>
      <c r="E5" s="52"/>
      <c r="F5" s="65">
        <f t="shared" si="1"/>
        <v>10902.535777225241</v>
      </c>
    </row>
    <row r="6" spans="1:6">
      <c r="A6" s="56">
        <v>2013</v>
      </c>
      <c r="B6" s="59">
        <f>Data_Hornaing!O6</f>
        <v>8086.018228599999</v>
      </c>
      <c r="C6" s="52"/>
      <c r="D6" s="60">
        <f t="shared" si="0"/>
        <v>8086.018228599999</v>
      </c>
      <c r="E6" s="52"/>
      <c r="F6" s="65">
        <f t="shared" si="1"/>
        <v>8086.018228599999</v>
      </c>
    </row>
    <row r="7" spans="1:6" ht="13.5" thickBot="1">
      <c r="A7" s="57"/>
      <c r="B7" s="59"/>
      <c r="C7" s="55"/>
      <c r="D7" s="60">
        <f t="shared" si="0"/>
        <v>0</v>
      </c>
      <c r="E7" s="55"/>
      <c r="F7" s="65">
        <f t="shared" si="1"/>
        <v>0</v>
      </c>
    </row>
    <row r="9" spans="1:6" ht="13.5" thickBot="1"/>
    <row r="10" spans="1:6">
      <c r="A10" s="61" t="s">
        <v>40</v>
      </c>
      <c r="B10" s="62" t="s">
        <v>35</v>
      </c>
      <c r="C10" s="62" t="s">
        <v>0</v>
      </c>
      <c r="D10" s="63" t="s">
        <v>2</v>
      </c>
      <c r="E10" s="62" t="s">
        <v>1</v>
      </c>
      <c r="F10" s="64" t="s">
        <v>3</v>
      </c>
    </row>
    <row r="11" spans="1:6">
      <c r="A11" s="58">
        <v>2009</v>
      </c>
      <c r="B11" s="59">
        <f>Data_Hornaing!O10</f>
        <v>22859.02370885896</v>
      </c>
      <c r="C11" s="54"/>
      <c r="D11" s="60">
        <f>B11+C11</f>
        <v>22859.02370885896</v>
      </c>
      <c r="E11" s="54"/>
      <c r="F11" s="65">
        <f>D11+E11</f>
        <v>22859.02370885896</v>
      </c>
    </row>
    <row r="12" spans="1:6">
      <c r="A12" s="56">
        <v>2010</v>
      </c>
      <c r="B12" s="59">
        <f>Data_Hornaing!O11</f>
        <v>18024.770838750002</v>
      </c>
      <c r="C12" s="52"/>
      <c r="D12" s="60">
        <f t="shared" ref="D12:D16" si="2">B12+C12</f>
        <v>18024.770838750002</v>
      </c>
      <c r="E12" s="52"/>
      <c r="F12" s="65">
        <f t="shared" ref="F12:F16" si="3">D12+E12</f>
        <v>18024.770838750002</v>
      </c>
    </row>
    <row r="13" spans="1:6">
      <c r="A13" s="56">
        <v>2011</v>
      </c>
      <c r="B13" s="59">
        <f>Data_Hornaing!O12</f>
        <v>15902.617663999999</v>
      </c>
      <c r="C13" s="52"/>
      <c r="D13" s="60">
        <f t="shared" si="2"/>
        <v>15902.617663999999</v>
      </c>
      <c r="E13" s="52"/>
      <c r="F13" s="65">
        <f t="shared" si="3"/>
        <v>15902.617663999999</v>
      </c>
    </row>
    <row r="14" spans="1:6">
      <c r="A14" s="56">
        <v>2012</v>
      </c>
      <c r="B14" s="59">
        <f>Data_Hornaing!O13</f>
        <v>17395.024047999999</v>
      </c>
      <c r="C14" s="52"/>
      <c r="D14" s="60">
        <f t="shared" si="2"/>
        <v>17395.024047999999</v>
      </c>
      <c r="E14" s="52"/>
      <c r="F14" s="65">
        <f t="shared" si="3"/>
        <v>17395.024047999999</v>
      </c>
    </row>
    <row r="15" spans="1:6">
      <c r="A15" s="56">
        <v>2013</v>
      </c>
      <c r="B15" s="59">
        <f>Data_Hornaing!O14</f>
        <v>11532.899459</v>
      </c>
      <c r="C15" s="52"/>
      <c r="D15" s="60">
        <f t="shared" si="2"/>
        <v>11532.899459</v>
      </c>
      <c r="E15" s="52"/>
      <c r="F15" s="65">
        <f t="shared" si="3"/>
        <v>11532.899459</v>
      </c>
    </row>
    <row r="16" spans="1:6">
      <c r="A16" s="56">
        <v>2014</v>
      </c>
      <c r="B16" s="59"/>
      <c r="C16" s="55"/>
      <c r="D16" s="60">
        <f t="shared" si="2"/>
        <v>0</v>
      </c>
      <c r="E16" s="52"/>
      <c r="F16" s="65">
        <f t="shared" si="3"/>
        <v>0</v>
      </c>
    </row>
    <row r="18" spans="1:6" ht="13.5" thickBot="1"/>
    <row r="19" spans="1:6">
      <c r="A19" s="61" t="s">
        <v>41</v>
      </c>
      <c r="B19" s="62" t="s">
        <v>35</v>
      </c>
      <c r="C19" s="62" t="s">
        <v>0</v>
      </c>
      <c r="D19" s="63" t="s">
        <v>2</v>
      </c>
      <c r="E19" s="62" t="s">
        <v>1</v>
      </c>
      <c r="F19" s="64" t="s">
        <v>3</v>
      </c>
    </row>
    <row r="20" spans="1:6">
      <c r="A20" s="58">
        <v>2009</v>
      </c>
      <c r="B20" s="59">
        <f>Data_Hornaing!O18</f>
        <v>19421.779469958885</v>
      </c>
      <c r="C20" s="54"/>
      <c r="D20" s="60">
        <f>B20+C20</f>
        <v>19421.779469958885</v>
      </c>
      <c r="E20" s="54"/>
      <c r="F20" s="65">
        <f>D20+E20</f>
        <v>19421.779469958885</v>
      </c>
    </row>
    <row r="21" spans="1:6">
      <c r="A21" s="56">
        <v>2010</v>
      </c>
      <c r="B21" s="59">
        <f>Data_Hornaing!O19</f>
        <v>15024.130184200001</v>
      </c>
      <c r="C21" s="52"/>
      <c r="D21" s="60">
        <f t="shared" ref="D21:D25" si="4">B21+C21</f>
        <v>15024.130184200001</v>
      </c>
      <c r="E21" s="52"/>
      <c r="F21" s="65">
        <f t="shared" ref="F21:F25" si="5">D21+E21</f>
        <v>15024.130184200001</v>
      </c>
    </row>
    <row r="22" spans="1:6">
      <c r="A22" s="56">
        <v>2011</v>
      </c>
      <c r="B22" s="59">
        <f>Data_Hornaing!O20</f>
        <v>12853.3223478</v>
      </c>
      <c r="C22" s="52"/>
      <c r="D22" s="60">
        <f t="shared" si="4"/>
        <v>12853.3223478</v>
      </c>
      <c r="E22" s="52"/>
      <c r="F22" s="65">
        <f t="shared" si="5"/>
        <v>12853.3223478</v>
      </c>
    </row>
    <row r="23" spans="1:6">
      <c r="A23" s="56">
        <v>2012</v>
      </c>
      <c r="B23" s="59">
        <f>Data_Hornaing!O21</f>
        <v>14067.11441526104</v>
      </c>
      <c r="C23" s="52"/>
      <c r="D23" s="60">
        <f t="shared" si="4"/>
        <v>14067.11441526104</v>
      </c>
      <c r="E23" s="52"/>
      <c r="F23" s="65">
        <f t="shared" si="5"/>
        <v>14067.11441526104</v>
      </c>
    </row>
    <row r="24" spans="1:6">
      <c r="A24" s="56">
        <v>2013</v>
      </c>
      <c r="B24" s="59">
        <f>Data_Hornaing!O22</f>
        <v>9716.0273616500017</v>
      </c>
      <c r="C24" s="52"/>
      <c r="D24" s="60">
        <f t="shared" si="4"/>
        <v>9716.0273616500017</v>
      </c>
      <c r="E24" s="52"/>
      <c r="F24" s="65">
        <f t="shared" si="5"/>
        <v>9716.0273616500017</v>
      </c>
    </row>
    <row r="25" spans="1:6">
      <c r="A25" s="56">
        <v>2014</v>
      </c>
      <c r="B25" s="59"/>
      <c r="C25" s="55"/>
      <c r="D25" s="60">
        <f t="shared" si="4"/>
        <v>0</v>
      </c>
      <c r="E25" s="52"/>
      <c r="F25" s="65">
        <f t="shared" si="5"/>
        <v>0</v>
      </c>
    </row>
    <row r="27" spans="1:6" ht="13.5" thickBot="1"/>
    <row r="28" spans="1:6">
      <c r="A28" s="61" t="s">
        <v>42</v>
      </c>
      <c r="B28" s="62" t="s">
        <v>35</v>
      </c>
      <c r="C28" s="62" t="s">
        <v>0</v>
      </c>
      <c r="D28" s="63" t="s">
        <v>2</v>
      </c>
      <c r="E28" s="62" t="s">
        <v>1</v>
      </c>
      <c r="F28" s="64" t="s">
        <v>3</v>
      </c>
    </row>
    <row r="29" spans="1:6">
      <c r="A29" s="58">
        <v>2009</v>
      </c>
      <c r="B29" s="59">
        <f>Data_Hornaing!O26</f>
        <v>13597.474721500001</v>
      </c>
      <c r="C29" s="54"/>
      <c r="D29" s="60">
        <f>B29+C29</f>
        <v>13597.474721500001</v>
      </c>
      <c r="E29" s="54"/>
      <c r="F29" s="65">
        <f>D29+E29</f>
        <v>13597.474721500001</v>
      </c>
    </row>
    <row r="30" spans="1:6">
      <c r="A30" s="56">
        <v>2010</v>
      </c>
      <c r="B30" s="59">
        <f>Data_Hornaing!O27</f>
        <v>10532.189694200002</v>
      </c>
      <c r="C30" s="52"/>
      <c r="D30" s="60">
        <f t="shared" ref="D30:D34" si="6">B30+C30</f>
        <v>10532.189694200002</v>
      </c>
      <c r="E30" s="52"/>
      <c r="F30" s="65">
        <f t="shared" ref="F30:F34" si="7">D30+E30</f>
        <v>10532.189694200002</v>
      </c>
    </row>
    <row r="31" spans="1:6">
      <c r="A31" s="56">
        <v>2011</v>
      </c>
      <c r="B31" s="59">
        <f>Data_Hornaing!O28</f>
        <v>7749.7771340000008</v>
      </c>
      <c r="C31" s="52"/>
      <c r="D31" s="60">
        <f t="shared" si="6"/>
        <v>7749.7771340000008</v>
      </c>
      <c r="E31" s="52"/>
      <c r="F31" s="65">
        <f t="shared" si="7"/>
        <v>7749.7771340000008</v>
      </c>
    </row>
    <row r="32" spans="1:6">
      <c r="A32" s="56">
        <v>2012</v>
      </c>
      <c r="B32" s="59">
        <f>Data_Hornaing!O29</f>
        <v>8008.0480763500018</v>
      </c>
      <c r="C32" s="52"/>
      <c r="D32" s="60">
        <f t="shared" si="6"/>
        <v>8008.0480763500018</v>
      </c>
      <c r="E32" s="52"/>
      <c r="F32" s="65">
        <f t="shared" si="7"/>
        <v>8008.0480763500018</v>
      </c>
    </row>
    <row r="33" spans="1:6">
      <c r="A33" s="56">
        <v>2013</v>
      </c>
      <c r="B33" s="59">
        <f>Data_Hornaing!O30</f>
        <v>6593.0657385000013</v>
      </c>
      <c r="C33" s="52"/>
      <c r="D33" s="60">
        <f t="shared" si="6"/>
        <v>6593.0657385000013</v>
      </c>
      <c r="E33" s="52"/>
      <c r="F33" s="65">
        <f t="shared" si="7"/>
        <v>6593.0657385000013</v>
      </c>
    </row>
    <row r="34" spans="1:6">
      <c r="A34" s="56">
        <v>2014</v>
      </c>
      <c r="B34" s="59"/>
      <c r="C34" s="55"/>
      <c r="D34" s="60">
        <f t="shared" si="6"/>
        <v>0</v>
      </c>
      <c r="E34" s="52"/>
      <c r="F34" s="65">
        <f t="shared" si="7"/>
        <v>0</v>
      </c>
    </row>
    <row r="36" spans="1:6" ht="13.5" thickBot="1"/>
    <row r="37" spans="1:6">
      <c r="A37" s="61" t="s">
        <v>43</v>
      </c>
      <c r="B37" s="62" t="s">
        <v>35</v>
      </c>
      <c r="C37" s="62" t="s">
        <v>0</v>
      </c>
      <c r="D37" s="63" t="s">
        <v>2</v>
      </c>
      <c r="E37" s="62" t="s">
        <v>1</v>
      </c>
      <c r="F37" s="64" t="s">
        <v>3</v>
      </c>
    </row>
    <row r="38" spans="1:6">
      <c r="A38" s="58">
        <v>2009</v>
      </c>
      <c r="B38" s="59">
        <f>Data_Hornaing!O35</f>
        <v>11235.622363400002</v>
      </c>
      <c r="C38" s="54"/>
      <c r="D38" s="60">
        <f>B38+C38</f>
        <v>11235.622363400002</v>
      </c>
      <c r="E38" s="54"/>
      <c r="F38" s="65">
        <f>D38+E38</f>
        <v>11235.622363400002</v>
      </c>
    </row>
    <row r="39" spans="1:6">
      <c r="A39" s="56">
        <v>2010</v>
      </c>
      <c r="B39" s="59">
        <f>Data_Hornaing!O36</f>
        <v>8940.2125650000016</v>
      </c>
      <c r="C39" s="52"/>
      <c r="D39" s="60">
        <f t="shared" ref="D39:D43" si="8">B39+C39</f>
        <v>8940.2125650000016</v>
      </c>
      <c r="E39" s="52"/>
      <c r="F39" s="65">
        <f t="shared" ref="F39:F43" si="9">D39+E39</f>
        <v>8940.2125650000016</v>
      </c>
    </row>
    <row r="40" spans="1:6">
      <c r="A40" s="56">
        <v>2011</v>
      </c>
      <c r="B40" s="59">
        <f>Data_Hornaing!O37</f>
        <v>6048.3195312500011</v>
      </c>
      <c r="C40" s="52"/>
      <c r="D40" s="60">
        <f t="shared" si="8"/>
        <v>6048.3195312500011</v>
      </c>
      <c r="E40" s="52"/>
      <c r="F40" s="65">
        <f t="shared" si="9"/>
        <v>6048.3195312500011</v>
      </c>
    </row>
    <row r="41" spans="1:6">
      <c r="A41" s="56">
        <v>2012</v>
      </c>
      <c r="B41" s="59">
        <f>Data_Hornaing!O38</f>
        <v>5692.9687986711397</v>
      </c>
      <c r="C41" s="52"/>
      <c r="D41" s="60">
        <f t="shared" si="8"/>
        <v>5692.9687986711397</v>
      </c>
      <c r="E41" s="52"/>
      <c r="F41" s="65">
        <f t="shared" si="9"/>
        <v>5692.9687986711397</v>
      </c>
    </row>
    <row r="42" spans="1:6">
      <c r="A42" s="56">
        <v>2013</v>
      </c>
      <c r="B42" s="59">
        <f>Data_Hornaing!O39</f>
        <v>5204.42193425</v>
      </c>
      <c r="C42" s="52"/>
      <c r="D42" s="60">
        <f t="shared" si="8"/>
        <v>5204.42193425</v>
      </c>
      <c r="E42" s="52"/>
      <c r="F42" s="65">
        <f t="shared" si="9"/>
        <v>5204.42193425</v>
      </c>
    </row>
    <row r="43" spans="1:6">
      <c r="A43" s="56">
        <v>2014</v>
      </c>
      <c r="B43" s="59"/>
      <c r="C43" s="55"/>
      <c r="D43" s="60">
        <f t="shared" si="8"/>
        <v>0</v>
      </c>
      <c r="E43" s="52"/>
      <c r="F43" s="65">
        <f t="shared" si="9"/>
        <v>0</v>
      </c>
    </row>
  </sheetData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S41"/>
  <sheetViews>
    <sheetView topLeftCell="E1" workbookViewId="0">
      <selection activeCell="R35" sqref="R35:R40"/>
    </sheetView>
  </sheetViews>
  <sheetFormatPr baseColWidth="10" defaultRowHeight="12.75"/>
  <cols>
    <col min="1" max="1" width="5.28515625" bestFit="1" customWidth="1"/>
    <col min="2" max="3" width="10.28515625" bestFit="1" customWidth="1"/>
    <col min="4" max="4" width="12.42578125" bestFit="1" customWidth="1"/>
    <col min="5" max="5" width="16.85546875" bestFit="1" customWidth="1"/>
    <col min="6" max="6" width="13.42578125" bestFit="1" customWidth="1"/>
    <col min="7" max="7" width="11.28515625" bestFit="1" customWidth="1"/>
    <col min="8" max="8" width="18.140625" bestFit="1" customWidth="1"/>
    <col min="9" max="9" width="6.7109375" bestFit="1" customWidth="1"/>
    <col min="10" max="10" width="5.7109375" bestFit="1" customWidth="1"/>
    <col min="11" max="11" width="12.28515625" bestFit="1" customWidth="1"/>
    <col min="12" max="12" width="16.42578125" bestFit="1" customWidth="1"/>
    <col min="13" max="13" width="13.85546875" bestFit="1" customWidth="1"/>
    <col min="14" max="14" width="6.28515625" bestFit="1" customWidth="1"/>
    <col min="15" max="15" width="12.28515625" customWidth="1"/>
    <col min="16" max="16" width="10.85546875" bestFit="1" customWidth="1"/>
    <col min="17" max="17" width="18.5703125" customWidth="1"/>
    <col min="19" max="19" width="13.85546875" bestFit="1" customWidth="1"/>
  </cols>
  <sheetData>
    <row r="1" spans="1:19"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6</v>
      </c>
      <c r="J1" t="s">
        <v>5</v>
      </c>
      <c r="K1" t="s">
        <v>7</v>
      </c>
      <c r="L1" t="s">
        <v>8</v>
      </c>
      <c r="M1" t="s">
        <v>9</v>
      </c>
      <c r="O1" s="49" t="s">
        <v>33</v>
      </c>
      <c r="P1" s="49" t="s">
        <v>34</v>
      </c>
      <c r="Q1" s="70" t="s">
        <v>45</v>
      </c>
      <c r="R1" s="70" t="s">
        <v>47</v>
      </c>
      <c r="S1" s="70" t="s">
        <v>49</v>
      </c>
    </row>
    <row r="2" spans="1:19">
      <c r="A2" s="37"/>
      <c r="B2" s="38">
        <v>1234440</v>
      </c>
      <c r="C2" s="38">
        <v>1246040</v>
      </c>
      <c r="D2" s="38">
        <v>76234807</v>
      </c>
      <c r="E2" s="38">
        <v>1851660</v>
      </c>
      <c r="F2" s="38">
        <v>42417333.880000003</v>
      </c>
      <c r="G2" s="38">
        <v>14541286.800000001</v>
      </c>
      <c r="H2" s="38">
        <v>30590120</v>
      </c>
      <c r="I2" s="38">
        <v>5144</v>
      </c>
      <c r="J2" s="39">
        <v>50.42</v>
      </c>
      <c r="K2" s="38">
        <v>58</v>
      </c>
      <c r="L2" s="39">
        <v>35.86</v>
      </c>
      <c r="M2" s="38">
        <v>1375693.44</v>
      </c>
      <c r="N2" s="40">
        <v>0.32340000000000002</v>
      </c>
      <c r="O2" s="3">
        <f>(H2-G2+Hypothèses_Scenario_0!$L$3*G2/C2-Q2*R2)/1000</f>
        <v>20036.2566272</v>
      </c>
      <c r="P2" s="50">
        <f>Hypothèses_Scenario_0!$K$3-Data_Lucy!L2</f>
        <v>34.261658381599887</v>
      </c>
      <c r="Q2" s="84">
        <f>B2*Hypothèses_Scenario_0!$L$12</f>
        <v>80238.600000000006</v>
      </c>
      <c r="R2" s="51">
        <f>J2*Hypothèses_Scenario_0!$J$11-L2-S2</f>
        <v>22.948337318946237</v>
      </c>
      <c r="S2" s="87">
        <f>G2/B2</f>
        <v>11.779662681053757</v>
      </c>
    </row>
    <row r="3" spans="1:19">
      <c r="A3" s="37"/>
      <c r="B3" s="38">
        <v>534000</v>
      </c>
      <c r="C3" s="38">
        <v>554800</v>
      </c>
      <c r="D3" s="38">
        <v>41450016</v>
      </c>
      <c r="E3" s="38">
        <v>801000</v>
      </c>
      <c r="F3" s="38">
        <v>25029905.460000001</v>
      </c>
      <c r="G3" s="38">
        <v>6657600</v>
      </c>
      <c r="H3" s="38">
        <v>13151276</v>
      </c>
      <c r="I3" s="38">
        <v>2225</v>
      </c>
      <c r="J3" s="39">
        <v>50.23</v>
      </c>
      <c r="K3" s="38">
        <v>104</v>
      </c>
      <c r="L3" s="39">
        <v>48.37</v>
      </c>
      <c r="M3" s="38">
        <v>2467834.2599999998</v>
      </c>
      <c r="N3" s="40">
        <v>0.32400000000000001</v>
      </c>
      <c r="O3" s="3">
        <f>(H3-G3+Hypothèses_Scenario_0!$L$4*G3/C3-Q3*R3)/1000</f>
        <v>11492.101279999999</v>
      </c>
      <c r="P3" s="50">
        <f>Hypothèses_Scenario_0!$K$4-Data_Lucy!L3</f>
        <v>26.159999999999862</v>
      </c>
      <c r="Q3" s="84">
        <f>B3*Hypothèses_Scenario_0!$L$13</f>
        <v>34710</v>
      </c>
      <c r="R3" s="51">
        <f>J3*Hypothèses_Scenario_0!$J$11-L3-S3</f>
        <v>9.4845842696629123</v>
      </c>
      <c r="S3" s="87">
        <f t="shared" ref="S3:S7" si="0">G3/B3</f>
        <v>12.467415730337079</v>
      </c>
    </row>
    <row r="4" spans="1:19">
      <c r="A4" s="37"/>
      <c r="B4" s="38">
        <v>559920</v>
      </c>
      <c r="C4" s="38">
        <v>588720</v>
      </c>
      <c r="D4" s="38">
        <v>43927561</v>
      </c>
      <c r="E4" s="38">
        <v>839880</v>
      </c>
      <c r="F4" s="38">
        <v>27739054.199999999</v>
      </c>
      <c r="G4" s="38">
        <v>7335451.2000000002</v>
      </c>
      <c r="H4" s="38">
        <v>11624280</v>
      </c>
      <c r="I4" s="38">
        <v>2333</v>
      </c>
      <c r="J4" s="39">
        <v>52.22</v>
      </c>
      <c r="K4" s="38">
        <v>144</v>
      </c>
      <c r="L4" s="39">
        <v>51.04</v>
      </c>
      <c r="M4" s="38">
        <v>3724347.16</v>
      </c>
      <c r="N4" s="40">
        <v>0.3241</v>
      </c>
      <c r="O4" s="3">
        <f>(H4-G4+Hypothèses_Scenario_0!$L$5*G4/C4-Q4*R4)/1000</f>
        <v>8457.1099195999996</v>
      </c>
      <c r="P4" s="50">
        <f>Hypothèses_Scenario_0!$K$5-Data_Lucy!L4</f>
        <v>26.460000000000569</v>
      </c>
      <c r="Q4" s="84">
        <f>B4*Hypothèses_Scenario_0!$L$14</f>
        <v>36394.800000000003</v>
      </c>
      <c r="R4" s="51">
        <f>J4*Hypothèses_Scenario_0!$J$11-S4-L4</f>
        <v>8.9671084440634274</v>
      </c>
      <c r="S4" s="87">
        <f t="shared" si="0"/>
        <v>13.100891555936563</v>
      </c>
    </row>
    <row r="5" spans="1:19">
      <c r="A5" s="37"/>
      <c r="B5" s="38">
        <v>625320</v>
      </c>
      <c r="C5" s="38">
        <v>664520</v>
      </c>
      <c r="D5" s="38">
        <v>52298412</v>
      </c>
      <c r="E5" s="38">
        <v>937980</v>
      </c>
      <c r="F5" s="38">
        <v>31900137.510000002</v>
      </c>
      <c r="G5" s="38">
        <v>8711857.1999999993</v>
      </c>
      <c r="H5" s="38">
        <v>14355286</v>
      </c>
      <c r="I5" s="38">
        <v>2606</v>
      </c>
      <c r="J5" s="39">
        <v>55.66</v>
      </c>
      <c r="K5" s="38">
        <v>196</v>
      </c>
      <c r="L5" s="39">
        <v>52.51</v>
      </c>
      <c r="M5" s="38">
        <v>5105009.09</v>
      </c>
      <c r="N5" s="40">
        <v>0.32440000000000002</v>
      </c>
      <c r="O5" s="3">
        <f>(H5-G5+Hypothèses_Scenario_0!$L$6*G5/C5-Q5*R5)/1000</f>
        <v>8086.9478848000008</v>
      </c>
      <c r="P5" s="50">
        <f>Hypothèses_Scenario_0!$K$6-Data_Lucy!L5</f>
        <v>29.49000000000013</v>
      </c>
      <c r="Q5" s="84">
        <f>B5*Hypothèses_Scenario_0!$L$15</f>
        <v>40645.800000000003</v>
      </c>
      <c r="R5" s="51">
        <f>J5*Hypothèses_Scenario_0!$J$11-S5-L5</f>
        <v>11.482161581270383</v>
      </c>
      <c r="S5" s="87">
        <f t="shared" si="0"/>
        <v>13.93183841872961</v>
      </c>
    </row>
    <row r="6" spans="1:19">
      <c r="A6" s="37"/>
      <c r="B6" s="38">
        <v>600000</v>
      </c>
      <c r="C6" s="38">
        <v>610800</v>
      </c>
      <c r="D6" s="38">
        <v>52275851</v>
      </c>
      <c r="E6" s="38">
        <v>900000</v>
      </c>
      <c r="F6" s="38">
        <v>31092991.359999999</v>
      </c>
      <c r="G6" s="38">
        <v>8183754.9400000004</v>
      </c>
      <c r="H6" s="38">
        <v>18871651</v>
      </c>
      <c r="I6" s="38">
        <v>2500</v>
      </c>
      <c r="J6" s="39">
        <v>56.88</v>
      </c>
      <c r="K6" s="38">
        <v>54</v>
      </c>
      <c r="L6" s="39">
        <v>53.32</v>
      </c>
      <c r="M6" s="38">
        <v>1411208.63</v>
      </c>
      <c r="N6" s="40">
        <v>0.32340000000000002</v>
      </c>
      <c r="O6" s="3">
        <f>(H6-G6+Hypothèses_Scenario_0!$L$7*G6/C6-Q6*R6)/1000</f>
        <v>10193.672131099998</v>
      </c>
      <c r="P6" s="50">
        <f>Hypothèses_Scenario_0!$K$7-Data_Lucy!L6</f>
        <v>30.48400000000013</v>
      </c>
      <c r="Q6" s="84">
        <f>B6*Hypothèses_Scenario_0!$L$16</f>
        <v>39000</v>
      </c>
      <c r="R6" s="51">
        <f>J6*Hypothèses_Scenario_0!$J$11-S6-L6</f>
        <v>12.672408433333338</v>
      </c>
      <c r="S6" s="87">
        <f t="shared" si="0"/>
        <v>13.639591566666667</v>
      </c>
    </row>
    <row r="7" spans="1:19">
      <c r="A7" s="37"/>
      <c r="B7" s="38">
        <v>306720</v>
      </c>
      <c r="C7" s="38">
        <v>313520</v>
      </c>
      <c r="D7" s="38">
        <v>27779876</v>
      </c>
      <c r="E7" s="38">
        <v>460080</v>
      </c>
      <c r="F7" s="38">
        <v>16105244.77</v>
      </c>
      <c r="G7" s="38">
        <v>4293087.4400000004</v>
      </c>
      <c r="H7" s="38">
        <v>10331848</v>
      </c>
      <c r="I7" s="38">
        <v>1278</v>
      </c>
      <c r="J7" s="39">
        <v>58.13</v>
      </c>
      <c r="K7" s="38">
        <v>34</v>
      </c>
      <c r="L7" s="39">
        <v>54.01</v>
      </c>
      <c r="M7" s="38">
        <v>882702.69</v>
      </c>
      <c r="N7" s="40">
        <v>0.3236</v>
      </c>
      <c r="O7" s="3">
        <f>(H7-G7+Hypothèses_Scenario_0!$L$8*G7/C7-Q7*R7)/1000</f>
        <v>5772.101153999999</v>
      </c>
      <c r="P7" s="50">
        <f>Hypothèses_Scenario_0!$K$8-Data_Lucy!L7</f>
        <v>31.637688000000132</v>
      </c>
      <c r="Q7" s="84">
        <f>B7*Hypothèses_Scenario_0!$L$17</f>
        <v>19936.8</v>
      </c>
      <c r="R7" s="51">
        <f>J7*Hypothèses_Scenario_0!$J$11-S7-L7</f>
        <v>13.375236045905062</v>
      </c>
      <c r="S7" s="87">
        <f t="shared" si="0"/>
        <v>13.996763954094941</v>
      </c>
    </row>
    <row r="8" spans="1:19">
      <c r="F8" s="51"/>
    </row>
    <row r="9" spans="1:19">
      <c r="A9" s="53">
        <v>0.1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 t="s">
        <v>21</v>
      </c>
      <c r="H9" t="s">
        <v>22</v>
      </c>
      <c r="I9" t="s">
        <v>6</v>
      </c>
      <c r="J9" t="s">
        <v>5</v>
      </c>
      <c r="K9" t="s">
        <v>7</v>
      </c>
      <c r="L9" t="s">
        <v>8</v>
      </c>
      <c r="M9" t="s">
        <v>9</v>
      </c>
    </row>
    <row r="10" spans="1:19">
      <c r="B10" s="38">
        <v>1425240</v>
      </c>
      <c r="C10" s="38">
        <v>1430440</v>
      </c>
      <c r="D10" s="38">
        <v>92601262</v>
      </c>
      <c r="E10" s="38">
        <v>2137860</v>
      </c>
      <c r="F10" s="38">
        <v>48906424.18</v>
      </c>
      <c r="G10" s="38">
        <v>16693234.800000001</v>
      </c>
      <c r="H10" s="38">
        <v>40921926</v>
      </c>
      <c r="I10" s="38">
        <v>5939</v>
      </c>
      <c r="J10" s="39">
        <v>55.46</v>
      </c>
      <c r="K10" s="38">
        <v>26</v>
      </c>
      <c r="L10" s="39">
        <v>35.81</v>
      </c>
      <c r="M10" s="38">
        <v>635051.65</v>
      </c>
      <c r="N10" s="40">
        <v>0.32369999999999999</v>
      </c>
      <c r="O10" s="3">
        <f>(H10-G10+Hypothèses_Scenario_0!$L$3*G10/C10-Q10*R10)/1000</f>
        <v>27266.9904876</v>
      </c>
      <c r="P10" s="50">
        <f>Hypothèses_Scenario_0!$K3*(1+$A$9)-Data_Lucy!L10</f>
        <v>41.323824219759885</v>
      </c>
      <c r="Q10" s="84">
        <f>B10*Hypothèses_Scenario_0!$L$12</f>
        <v>92640.6</v>
      </c>
      <c r="R10" s="51">
        <f>J10*Hypothèses_Scenario_0!$J$11-L10-S10</f>
        <v>30.121421907889186</v>
      </c>
      <c r="S10" s="87">
        <f>G10/B10</f>
        <v>11.712578092110803</v>
      </c>
    </row>
    <row r="11" spans="1:19">
      <c r="B11" s="38">
        <v>788280</v>
      </c>
      <c r="C11" s="38">
        <v>824480</v>
      </c>
      <c r="D11" s="38">
        <v>63787417</v>
      </c>
      <c r="E11" s="38">
        <v>1182420</v>
      </c>
      <c r="F11" s="38">
        <v>36913401.439999998</v>
      </c>
      <c r="G11" s="38">
        <v>9893760</v>
      </c>
      <c r="H11" s="38">
        <v>21430573</v>
      </c>
      <c r="I11" s="38">
        <v>3285</v>
      </c>
      <c r="J11" s="39">
        <v>55.25</v>
      </c>
      <c r="K11" s="38">
        <v>181</v>
      </c>
      <c r="L11" s="39">
        <v>48.33</v>
      </c>
      <c r="M11" s="38">
        <v>4261022.0199999996</v>
      </c>
      <c r="N11" s="40">
        <v>0.32429999999999998</v>
      </c>
      <c r="O11" s="3">
        <f>(H11-G11+Hypothèses_Scenario_0!$L$4*G11/C11-Q11*R11)/1000</f>
        <v>16020.610035999998</v>
      </c>
      <c r="P11" s="50">
        <f>Hypothèses_Scenario_0!$K4*(1+$A$9)-Data_Lucy!L11</f>
        <v>33.652999999999849</v>
      </c>
      <c r="Q11" s="84">
        <f>B11*Hypothèses_Scenario_0!$L$13</f>
        <v>51238.200000000004</v>
      </c>
      <c r="R11" s="51">
        <f>J11*Hypothèses_Scenario_0!$J$11-L11-S11</f>
        <v>16.468926777287255</v>
      </c>
      <c r="S11" s="87">
        <f t="shared" ref="S11:S15" si="1">G11/B11</f>
        <v>12.551073222712741</v>
      </c>
    </row>
    <row r="12" spans="1:19">
      <c r="B12" s="38">
        <v>763680</v>
      </c>
      <c r="C12" s="38">
        <v>799480</v>
      </c>
      <c r="D12" s="38">
        <v>63184024</v>
      </c>
      <c r="E12" s="38">
        <v>1145520</v>
      </c>
      <c r="F12" s="38">
        <v>37837374.43</v>
      </c>
      <c r="G12" s="38">
        <v>9961520.8000000007</v>
      </c>
      <c r="H12" s="38">
        <v>19549511</v>
      </c>
      <c r="I12" s="38">
        <v>3182</v>
      </c>
      <c r="J12" s="39">
        <v>57.44</v>
      </c>
      <c r="K12" s="38">
        <v>179</v>
      </c>
      <c r="L12" s="39">
        <v>51.05</v>
      </c>
      <c r="M12" s="38">
        <v>4651618.5</v>
      </c>
      <c r="N12" s="40">
        <v>0.32400000000000001</v>
      </c>
      <c r="O12" s="3">
        <f>(H12-G12+Hypothèses_Scenario_0!$L$5*G12/C12-Q12*R12)/1000</f>
        <v>13272.421542800001</v>
      </c>
      <c r="P12" s="50">
        <f>Hypothèses_Scenario_0!$K5*(1+$A$9)-Data_Lucy!L12</f>
        <v>34.200000000000628</v>
      </c>
      <c r="Q12" s="84">
        <f>B12*Hypothèses_Scenario_0!$L$14</f>
        <v>49639.200000000004</v>
      </c>
      <c r="R12" s="51">
        <f>J12*Hypothèses_Scenario_0!$J$11-S12-L12</f>
        <v>16.321896710664149</v>
      </c>
      <c r="S12" s="87">
        <f t="shared" si="1"/>
        <v>13.044103289335849</v>
      </c>
    </row>
    <row r="13" spans="1:19">
      <c r="B13" s="38">
        <v>885360</v>
      </c>
      <c r="C13" s="38">
        <v>913760</v>
      </c>
      <c r="D13" s="38">
        <v>74250179</v>
      </c>
      <c r="E13" s="38">
        <v>1328040</v>
      </c>
      <c r="F13" s="38">
        <v>45298272.590000004</v>
      </c>
      <c r="G13" s="38">
        <v>11979393.6</v>
      </c>
      <c r="H13" s="38">
        <v>23907827</v>
      </c>
      <c r="I13" s="38">
        <v>3689</v>
      </c>
      <c r="J13" s="39">
        <v>61.22</v>
      </c>
      <c r="K13" s="38">
        <v>142</v>
      </c>
      <c r="L13" s="39">
        <v>52.66</v>
      </c>
      <c r="M13" s="38">
        <v>3716038.98</v>
      </c>
      <c r="N13" s="40">
        <v>0.32350000000000001</v>
      </c>
      <c r="O13" s="3">
        <f>(H13-G13+Hypothèses_Scenario_0!$L$6*G13/C13-Q13*R13)/1000</f>
        <v>13715.455188800001</v>
      </c>
      <c r="P13" s="50">
        <f>Hypothèses_Scenario_0!$K6*(1+$A$9)-Data_Lucy!L13</f>
        <v>37.540000000000148</v>
      </c>
      <c r="Q13" s="84">
        <f>B13*Hypothèses_Scenario_0!$L$15</f>
        <v>57548.4</v>
      </c>
      <c r="R13" s="51">
        <f>J13*Hypothèses_Scenario_0!$J$11-S13-L13</f>
        <v>19.517465979940368</v>
      </c>
      <c r="S13" s="87">
        <f t="shared" si="1"/>
        <v>13.530534020059637</v>
      </c>
    </row>
    <row r="14" spans="1:19">
      <c r="B14" s="38">
        <v>762840</v>
      </c>
      <c r="C14" s="38">
        <v>780040</v>
      </c>
      <c r="D14" s="38">
        <v>69713278</v>
      </c>
      <c r="E14" s="38">
        <v>1144260</v>
      </c>
      <c r="F14" s="38">
        <v>39462101.509999998</v>
      </c>
      <c r="G14" s="38">
        <v>10451303.539999999</v>
      </c>
      <c r="H14" s="38">
        <v>26852226</v>
      </c>
      <c r="I14" s="38">
        <v>3179</v>
      </c>
      <c r="J14" s="39">
        <v>62.57</v>
      </c>
      <c r="K14" s="38">
        <v>86</v>
      </c>
      <c r="L14" s="39">
        <v>53.23</v>
      </c>
      <c r="M14" s="38">
        <v>2254690.8199999998</v>
      </c>
      <c r="N14" s="40">
        <v>0.32400000000000001</v>
      </c>
      <c r="O14" s="3">
        <f>(H14-G14+Hypothèses_Scenario_0!$L$7*G14/C14-Q14*R14)/1000</f>
        <v>15376.133657300001</v>
      </c>
      <c r="P14" s="50">
        <f>Hypothèses_Scenario_0!$K7*(1+$A$9)-Data_Lucy!L14</f>
        <v>38.954400000000156</v>
      </c>
      <c r="Q14" s="84">
        <f>B14*Hypothèses_Scenario_0!$L$16</f>
        <v>49584.6</v>
      </c>
      <c r="R14" s="51">
        <f>J14*Hypothèses_Scenario_0!$J$11-S14-L14</f>
        <v>20.667481490220759</v>
      </c>
      <c r="S14" s="87">
        <f t="shared" si="1"/>
        <v>13.700518509779245</v>
      </c>
    </row>
    <row r="15" spans="1:19">
      <c r="B15" s="38">
        <v>406680</v>
      </c>
      <c r="C15" s="38">
        <v>414880</v>
      </c>
      <c r="D15" s="38">
        <v>37862007</v>
      </c>
      <c r="E15" s="38">
        <v>610020</v>
      </c>
      <c r="F15" s="38">
        <v>21327460.710000001</v>
      </c>
      <c r="G15" s="38">
        <v>5681028.6900000004</v>
      </c>
      <c r="H15" s="38">
        <v>14852708</v>
      </c>
      <c r="I15" s="38">
        <v>1695</v>
      </c>
      <c r="J15" s="39">
        <v>63.94</v>
      </c>
      <c r="K15" s="38">
        <v>41</v>
      </c>
      <c r="L15" s="39">
        <v>53.94</v>
      </c>
      <c r="M15" s="38">
        <v>1071818.3700000001</v>
      </c>
      <c r="N15" s="40">
        <v>0.32400000000000001</v>
      </c>
      <c r="O15" s="3">
        <f>(H15-G15+Hypothèses_Scenario_0!$L$8*G15/C15-Q15*R15)/1000</f>
        <v>8600.5230756499986</v>
      </c>
      <c r="P15" s="50">
        <f>Hypothèses_Scenario_0!$K8*(1+$A$9)-Data_Lucy!L15</f>
        <v>40.272456800000157</v>
      </c>
      <c r="Q15" s="84">
        <f>B15*Hypothèses_Scenario_0!$L$17</f>
        <v>26434.2</v>
      </c>
      <c r="R15" s="51">
        <f>J15*Hypothèses_Scenario_0!$J$11-S15-L15</f>
        <v>21.606715329005596</v>
      </c>
      <c r="S15" s="87">
        <f t="shared" si="1"/>
        <v>13.969284670994394</v>
      </c>
    </row>
    <row r="17" spans="1:19">
      <c r="A17" s="53">
        <v>0.05</v>
      </c>
      <c r="B17" t="s">
        <v>16</v>
      </c>
      <c r="C17" t="s">
        <v>17</v>
      </c>
      <c r="D17" t="s">
        <v>18</v>
      </c>
      <c r="E17" t="s">
        <v>19</v>
      </c>
      <c r="F17" t="s">
        <v>20</v>
      </c>
      <c r="G17" t="s">
        <v>21</v>
      </c>
      <c r="H17" t="s">
        <v>22</v>
      </c>
      <c r="I17" t="s">
        <v>6</v>
      </c>
      <c r="J17" t="s">
        <v>5</v>
      </c>
      <c r="K17" t="s">
        <v>7</v>
      </c>
      <c r="L17" t="s">
        <v>8</v>
      </c>
      <c r="M17" t="s">
        <v>9</v>
      </c>
    </row>
    <row r="18" spans="1:19">
      <c r="B18" s="38">
        <v>1343640</v>
      </c>
      <c r="C18" s="38">
        <v>1351440</v>
      </c>
      <c r="D18" s="38">
        <v>84877942</v>
      </c>
      <c r="E18" s="38">
        <v>2015460</v>
      </c>
      <c r="F18" s="38">
        <v>46114798.270000003</v>
      </c>
      <c r="G18" s="38">
        <v>15771304.800000001</v>
      </c>
      <c r="H18" s="38">
        <v>35832705</v>
      </c>
      <c r="I18" s="38">
        <v>5599</v>
      </c>
      <c r="J18" s="39">
        <v>52.94</v>
      </c>
      <c r="K18" s="38">
        <v>39</v>
      </c>
      <c r="L18" s="39">
        <v>35.82</v>
      </c>
      <c r="M18" s="38">
        <v>914978.27</v>
      </c>
      <c r="N18" s="40">
        <v>0.32350000000000001</v>
      </c>
      <c r="O18" s="3">
        <f>(H18-G18+Hypothèses_Scenario_0!$L$3*G18/C18-Q18*R18)/1000</f>
        <v>23570.6584644</v>
      </c>
      <c r="P18" s="50">
        <f>Hypothèses_Scenario_0!$K$3*(1+A17)-Data_Lucy!L18</f>
        <v>37.807741300679886</v>
      </c>
      <c r="Q18" s="84">
        <f>B18*Hypothèses_Scenario_0!$L$12</f>
        <v>87336.6</v>
      </c>
      <c r="R18" s="51">
        <f>J18*Hypothèses_Scenario_0!$J$11-L18-S18</f>
        <v>26.558254175225493</v>
      </c>
      <c r="S18" s="87">
        <f>G18/B18</f>
        <v>11.737745824774494</v>
      </c>
    </row>
    <row r="19" spans="1:19">
      <c r="B19" s="38">
        <v>707040</v>
      </c>
      <c r="C19" s="38">
        <v>739440</v>
      </c>
      <c r="D19" s="38">
        <v>55621476</v>
      </c>
      <c r="E19" s="38">
        <v>1060560</v>
      </c>
      <c r="F19" s="38">
        <v>33122793.690000001</v>
      </c>
      <c r="G19" s="38">
        <v>8873280</v>
      </c>
      <c r="H19" s="38">
        <v>17622862</v>
      </c>
      <c r="I19" s="38">
        <v>2946</v>
      </c>
      <c r="J19" s="39">
        <v>52.74</v>
      </c>
      <c r="K19" s="38">
        <v>162</v>
      </c>
      <c r="L19" s="39">
        <v>48.35</v>
      </c>
      <c r="M19" s="38">
        <v>3815260.47</v>
      </c>
      <c r="N19" s="40">
        <v>0.32419999999999999</v>
      </c>
      <c r="O19" s="3">
        <f>(H19-G19+Hypothèses_Scenario_0!$L$4*G19/C19-Q19*R19)/1000</f>
        <v>13482.7050064</v>
      </c>
      <c r="P19" s="50">
        <f>Hypothèses_Scenario_0!$K$4*(1+A17)-Data_Lucy!L19</f>
        <v>29.906499999999859</v>
      </c>
      <c r="Q19" s="84">
        <f>B19*Hypothèses_Scenario_0!$L$13</f>
        <v>45957.599999999999</v>
      </c>
      <c r="R19" s="51">
        <f>J19*Hypothèses_Scenario_0!$J$11-L19-S19</f>
        <v>12.936101832993888</v>
      </c>
      <c r="S19" s="87">
        <f t="shared" ref="S19:S23" si="2">G19/B19</f>
        <v>12.549898167006109</v>
      </c>
    </row>
    <row r="20" spans="1:19">
      <c r="B20" s="38">
        <v>681720</v>
      </c>
      <c r="C20" s="38">
        <v>721320</v>
      </c>
      <c r="D20" s="38">
        <v>55631880</v>
      </c>
      <c r="E20" s="38">
        <v>1022580</v>
      </c>
      <c r="F20" s="38">
        <v>33765648.920000002</v>
      </c>
      <c r="G20" s="38">
        <v>8987647.1999999993</v>
      </c>
      <c r="H20" s="38">
        <v>15713329</v>
      </c>
      <c r="I20" s="38">
        <v>2841</v>
      </c>
      <c r="J20" s="39">
        <v>54.83</v>
      </c>
      <c r="K20" s="38">
        <v>198</v>
      </c>
      <c r="L20" s="39">
        <v>51.03</v>
      </c>
      <c r="M20" s="38">
        <v>5130321.22</v>
      </c>
      <c r="N20" s="40">
        <v>0.3241</v>
      </c>
      <c r="O20" s="3">
        <f>(H20-G20+Hypothèses_Scenario_0!$L$5*G20/C20-Q20*R20)/1000</f>
        <v>10664.284868400002</v>
      </c>
      <c r="P20" s="50">
        <f>Hypothèses_Scenario_0!$K$5*(1+A17)-Data_Lucy!L20</f>
        <v>30.345000000000596</v>
      </c>
      <c r="Q20" s="84">
        <f>B20*Hypothèses_Scenario_0!$L$14</f>
        <v>44311.8</v>
      </c>
      <c r="R20" s="51">
        <f>J20*Hypothèses_Scenario_0!$J$11-S20-L20</f>
        <v>12.548218975532464</v>
      </c>
      <c r="S20" s="87">
        <f t="shared" si="2"/>
        <v>13.183781024467523</v>
      </c>
    </row>
    <row r="21" spans="1:19">
      <c r="B21" s="38">
        <v>756480</v>
      </c>
      <c r="C21" s="38">
        <v>792280</v>
      </c>
      <c r="D21" s="38">
        <v>63489715</v>
      </c>
      <c r="E21" s="38">
        <v>1134720</v>
      </c>
      <c r="F21" s="38">
        <v>38655178.159999996</v>
      </c>
      <c r="G21" s="38">
        <v>10386790.800000001</v>
      </c>
      <c r="H21" s="38">
        <v>19012812</v>
      </c>
      <c r="I21" s="38">
        <v>3152</v>
      </c>
      <c r="J21" s="39">
        <v>58.44</v>
      </c>
      <c r="K21" s="38">
        <v>179</v>
      </c>
      <c r="L21" s="39">
        <v>52.6</v>
      </c>
      <c r="M21" s="38">
        <v>4687004.59</v>
      </c>
      <c r="N21" s="40">
        <v>0.32390000000000002</v>
      </c>
      <c r="O21" s="3">
        <f>(H21-G21+Hypothèses_Scenario_0!$L$6*G21/C21-Q21*R21)/1000</f>
        <v>10774.7975508</v>
      </c>
      <c r="P21" s="50">
        <f>Hypothèses_Scenario_0!$K$6*(1+A17)-Data_Lucy!L21</f>
        <v>33.500000000000135</v>
      </c>
      <c r="Q21" s="84">
        <f>B21*Hypothèses_Scenario_0!$L$15</f>
        <v>49171.200000000004</v>
      </c>
      <c r="R21" s="51">
        <f>J21*Hypothèses_Scenario_0!$J$11-S21-L21</f>
        <v>15.485576459390849</v>
      </c>
      <c r="S21" s="87">
        <f t="shared" si="2"/>
        <v>13.730423540609138</v>
      </c>
    </row>
    <row r="22" spans="1:19">
      <c r="B22" s="38">
        <v>675120</v>
      </c>
      <c r="C22" s="38">
        <v>689320</v>
      </c>
      <c r="D22" s="38">
        <v>60449554</v>
      </c>
      <c r="E22" s="38">
        <v>1012680</v>
      </c>
      <c r="F22" s="38">
        <v>34947833.840000004</v>
      </c>
      <c r="G22" s="38">
        <v>9235798.8699999992</v>
      </c>
      <c r="H22" s="38">
        <v>22630172</v>
      </c>
      <c r="I22" s="38">
        <v>2813</v>
      </c>
      <c r="J22" s="39">
        <v>59.72</v>
      </c>
      <c r="K22" s="38">
        <v>71</v>
      </c>
      <c r="L22" s="39">
        <v>53.27</v>
      </c>
      <c r="M22" s="38">
        <v>1858868.44</v>
      </c>
      <c r="N22" s="40">
        <v>0.32379999999999998</v>
      </c>
      <c r="O22" s="3">
        <f>(H22-G22+Hypothèses_Scenario_0!$L$7*G22/C22-Q22*R22)/1000</f>
        <v>12663.38367015</v>
      </c>
      <c r="P22" s="50">
        <f>Hypothèses_Scenario_0!$K$7*(1+A17)-Data_Lucy!L22</f>
        <v>34.724200000000131</v>
      </c>
      <c r="Q22" s="84">
        <f>B22*Hypothèses_Scenario_0!$L$16</f>
        <v>43882.8</v>
      </c>
      <c r="R22" s="51">
        <f>J22*Hypothèses_Scenario_0!$J$11-S22-L22</f>
        <v>16.657767048820936</v>
      </c>
      <c r="S22" s="87">
        <f t="shared" si="2"/>
        <v>13.680232951179049</v>
      </c>
    </row>
    <row r="23" spans="1:19">
      <c r="B23" s="38">
        <v>354480</v>
      </c>
      <c r="C23" s="38">
        <v>362480</v>
      </c>
      <c r="D23" s="38">
        <v>32654988</v>
      </c>
      <c r="E23" s="38">
        <v>531720</v>
      </c>
      <c r="F23" s="38">
        <v>18605712.809999999</v>
      </c>
      <c r="G23" s="38">
        <v>4963505.79</v>
      </c>
      <c r="H23" s="38">
        <v>12473818</v>
      </c>
      <c r="I23" s="38">
        <v>1477</v>
      </c>
      <c r="J23" s="39">
        <v>61.04</v>
      </c>
      <c r="K23" s="38">
        <v>40</v>
      </c>
      <c r="L23" s="39">
        <v>53.99</v>
      </c>
      <c r="M23" s="38">
        <v>1043736.72</v>
      </c>
      <c r="N23" s="40">
        <v>0.32369999999999999</v>
      </c>
      <c r="O23" s="3">
        <f>(H23-G23+Hypothèses_Scenario_0!$L$8*G23/C23-Q23*R23)/1000</f>
        <v>7107.9256871500002</v>
      </c>
      <c r="P23" s="50">
        <f>Hypothèses_Scenario_0!$K$8*(1+A17)-Data_Lucy!L23</f>
        <v>35.94007240000014</v>
      </c>
      <c r="Q23" s="84">
        <f>B23*Hypothèses_Scenario_0!$L$17</f>
        <v>23041.200000000001</v>
      </c>
      <c r="R23" s="51">
        <f>J23*Hypothèses_Scenario_0!$J$11-S23-L23</f>
        <v>17.46378325998645</v>
      </c>
      <c r="S23" s="87">
        <f t="shared" si="2"/>
        <v>14.002216740013541</v>
      </c>
    </row>
    <row r="25" spans="1:19">
      <c r="A25" s="53">
        <v>-0.05</v>
      </c>
      <c r="B25" t="s">
        <v>16</v>
      </c>
      <c r="C25" t="s">
        <v>17</v>
      </c>
      <c r="D25" t="s">
        <v>18</v>
      </c>
      <c r="E25" t="s">
        <v>19</v>
      </c>
      <c r="F25" t="s">
        <v>20</v>
      </c>
      <c r="G25" t="s">
        <v>21</v>
      </c>
      <c r="H25" t="s">
        <v>22</v>
      </c>
      <c r="I25" t="s">
        <v>6</v>
      </c>
      <c r="J25" t="s">
        <v>5</v>
      </c>
      <c r="K25" t="s">
        <v>7</v>
      </c>
      <c r="L25" t="s">
        <v>8</v>
      </c>
      <c r="M25" t="s">
        <v>9</v>
      </c>
    </row>
    <row r="26" spans="1:19">
      <c r="B26" s="38">
        <v>1069680</v>
      </c>
      <c r="C26" s="38">
        <v>1080280</v>
      </c>
      <c r="D26" s="38">
        <v>64659691</v>
      </c>
      <c r="E26" s="38">
        <v>1604520</v>
      </c>
      <c r="F26" s="38">
        <v>36865155.25</v>
      </c>
      <c r="G26" s="38">
        <v>12606867.6</v>
      </c>
      <c r="H26" s="38">
        <v>24995442</v>
      </c>
      <c r="I26" s="38">
        <v>4457</v>
      </c>
      <c r="J26" s="39">
        <v>47.9</v>
      </c>
      <c r="K26" s="38">
        <v>53</v>
      </c>
      <c r="L26" s="39">
        <v>35.96</v>
      </c>
      <c r="M26" s="38">
        <v>1194573.72</v>
      </c>
      <c r="N26" s="40">
        <v>0.32319999999999999</v>
      </c>
      <c r="O26" s="3">
        <f>(H26-G26+Hypothèses_Scenario_0!$L$3*G26/C26-Q26*R26)/1000</f>
        <v>16874.42856</v>
      </c>
      <c r="P26" s="50">
        <f>Hypothèses_Scenario_0!$K$3*(1+A25)-Data_Lucy!L26</f>
        <v>30.655575462519884</v>
      </c>
      <c r="Q26" s="84">
        <f>B26*Hypothèses_Scenario_0!$L$12</f>
        <v>69529.2</v>
      </c>
      <c r="R26" s="51">
        <f>J26*Hypothèses_Scenario_0!$J$11-L26-S26</f>
        <v>19.314356069104768</v>
      </c>
      <c r="S26" s="87">
        <f>G26/B26</f>
        <v>11.785643930895221</v>
      </c>
    </row>
    <row r="27" spans="1:19">
      <c r="B27" s="38">
        <v>423240</v>
      </c>
      <c r="C27" s="38">
        <v>436240</v>
      </c>
      <c r="D27" s="38">
        <v>31964398</v>
      </c>
      <c r="E27" s="38">
        <v>634860</v>
      </c>
      <c r="F27" s="38">
        <v>19887330.390000001</v>
      </c>
      <c r="G27" s="38">
        <v>5234880</v>
      </c>
      <c r="H27" s="38">
        <v>9897408</v>
      </c>
      <c r="I27" s="38">
        <v>1764</v>
      </c>
      <c r="J27" s="39">
        <v>47.72</v>
      </c>
      <c r="K27" s="38">
        <v>65</v>
      </c>
      <c r="L27" s="39">
        <v>48.49</v>
      </c>
      <c r="M27" s="38">
        <v>1544799.99</v>
      </c>
      <c r="N27" s="40">
        <v>0.3231</v>
      </c>
      <c r="O27" s="3">
        <f>(H27-G27+Hypothèses_Scenario_0!$L$4*G27/C27-Q27*R27)/1000</f>
        <v>9826.4912292000008</v>
      </c>
      <c r="P27" s="50">
        <f>Hypothèses_Scenario_0!$K$4*(1+A25)-Data_Lucy!L27</f>
        <v>22.313499999999856</v>
      </c>
      <c r="Q27" s="84">
        <f>B27*Hypothèses_Scenario_0!$L$13</f>
        <v>27510.600000000002</v>
      </c>
      <c r="R27" s="51">
        <f>J27*Hypothèses_Scenario_0!$J$11-L27-S27</f>
        <v>5.9494148001134022</v>
      </c>
      <c r="S27" s="87">
        <f t="shared" ref="S27:S31" si="3">G27/B27</f>
        <v>12.368585199886589</v>
      </c>
    </row>
    <row r="28" spans="1:19">
      <c r="B28" s="38">
        <v>384600</v>
      </c>
      <c r="C28" s="38">
        <v>407000</v>
      </c>
      <c r="D28" s="38">
        <v>29970950</v>
      </c>
      <c r="E28" s="38">
        <v>576900</v>
      </c>
      <c r="F28" s="38">
        <v>19047601</v>
      </c>
      <c r="G28" s="38">
        <v>5071220</v>
      </c>
      <c r="H28" s="38">
        <v>7466082</v>
      </c>
      <c r="I28" s="38">
        <v>1603</v>
      </c>
      <c r="J28" s="39">
        <v>49.61</v>
      </c>
      <c r="K28" s="38">
        <v>112</v>
      </c>
      <c r="L28" s="39">
        <v>51.03</v>
      </c>
      <c r="M28" s="38">
        <v>2880366.55</v>
      </c>
      <c r="N28" s="40">
        <v>0.3241</v>
      </c>
      <c r="O28" s="3">
        <f>(H28-G28+Hypothèses_Scenario_0!$L$5*G28/C28-Q28*R28)/1000</f>
        <v>6758.5469620000003</v>
      </c>
      <c r="P28" s="50">
        <f>Hypothèses_Scenario_0!$K$5*(1+A25)-Data_Lucy!L28</f>
        <v>22.595000000000539</v>
      </c>
      <c r="Q28" s="84">
        <f>B28*Hypothèses_Scenario_0!$L$14</f>
        <v>24999</v>
      </c>
      <c r="R28" s="51">
        <f>J28*Hypothèses_Scenario_0!$J$11-S28-L28</f>
        <v>5.2383005720228724</v>
      </c>
      <c r="S28" s="87">
        <f t="shared" si="3"/>
        <v>13.185699427977118</v>
      </c>
    </row>
    <row r="29" spans="1:19">
      <c r="B29" s="38">
        <v>459600</v>
      </c>
      <c r="C29" s="38">
        <v>487000</v>
      </c>
      <c r="D29" s="38">
        <v>37355094</v>
      </c>
      <c r="E29" s="38">
        <v>689400</v>
      </c>
      <c r="F29" s="38">
        <v>23454079.68</v>
      </c>
      <c r="G29" s="38">
        <v>6384570</v>
      </c>
      <c r="H29" s="38">
        <v>9651762</v>
      </c>
      <c r="I29" s="38">
        <v>1915</v>
      </c>
      <c r="J29" s="39">
        <v>52.87</v>
      </c>
      <c r="K29" s="38">
        <v>137</v>
      </c>
      <c r="L29" s="39">
        <v>52.53</v>
      </c>
      <c r="M29" s="38">
        <v>3559852.54</v>
      </c>
      <c r="N29" s="40">
        <v>0.32429999999999998</v>
      </c>
      <c r="O29" s="3">
        <f>(H29-G29+Hypothèses_Scenario_0!$L$6*G29/C29-Q29*R29)/1000</f>
        <v>5950.4772660000008</v>
      </c>
      <c r="P29" s="50">
        <f>Hypothèses_Scenario_0!$K$6*(1+A25)-Data_Lucy!L29</f>
        <v>25.370000000000118</v>
      </c>
      <c r="Q29" s="84">
        <f>B29*Hypothèses_Scenario_0!$L$15</f>
        <v>29874</v>
      </c>
      <c r="R29" s="51">
        <f>J29*Hypothèses_Scenario_0!$J$11-S29-L29</f>
        <v>7.5964203655352378</v>
      </c>
      <c r="S29" s="87">
        <f t="shared" si="3"/>
        <v>13.891579634464751</v>
      </c>
    </row>
    <row r="30" spans="1:19">
      <c r="B30" s="38">
        <v>511800</v>
      </c>
      <c r="C30" s="38">
        <v>519400</v>
      </c>
      <c r="D30" s="38">
        <v>43505017</v>
      </c>
      <c r="E30" s="38">
        <v>767700</v>
      </c>
      <c r="F30" s="38">
        <v>26543353.609999999</v>
      </c>
      <c r="G30" s="38">
        <v>6959139.3499999996</v>
      </c>
      <c r="H30" s="38">
        <v>15204081</v>
      </c>
      <c r="I30" s="38">
        <v>2133</v>
      </c>
      <c r="J30" s="39">
        <v>54.04</v>
      </c>
      <c r="K30" s="38">
        <v>38</v>
      </c>
      <c r="L30" s="39">
        <v>53.36</v>
      </c>
      <c r="M30" s="38">
        <v>989881.75</v>
      </c>
      <c r="N30" s="40">
        <v>0.32319999999999999</v>
      </c>
      <c r="O30" s="3">
        <f>(H30-G30+Hypothèses_Scenario_0!$L$7*G30/C30-Q30*R30)/1000</f>
        <v>7955.5646757500008</v>
      </c>
      <c r="P30" s="50">
        <f>Hypothèses_Scenario_0!$K$7*(1+A25)-Data_Lucy!L30</f>
        <v>26.253800000000126</v>
      </c>
      <c r="Q30" s="84">
        <f>B30*Hypothèses_Scenario_0!$L$16</f>
        <v>33267</v>
      </c>
      <c r="R30" s="51">
        <f>J30*Hypothèses_Scenario_0!$J$11-S30-L30</f>
        <v>8.6986194802657195</v>
      </c>
      <c r="S30" s="87">
        <f t="shared" si="3"/>
        <v>13.597380519734271</v>
      </c>
    </row>
    <row r="31" spans="1:19">
      <c r="B31" s="38">
        <v>272160</v>
      </c>
      <c r="C31" s="38">
        <v>278360</v>
      </c>
      <c r="D31" s="38">
        <v>24036807</v>
      </c>
      <c r="E31" s="38">
        <v>408240</v>
      </c>
      <c r="F31" s="38">
        <v>14298711.119999999</v>
      </c>
      <c r="G31" s="38">
        <v>3811635.04</v>
      </c>
      <c r="H31" s="38">
        <v>8529742</v>
      </c>
      <c r="I31" s="38">
        <v>1134</v>
      </c>
      <c r="J31" s="39">
        <v>55.23</v>
      </c>
      <c r="K31" s="38">
        <v>31</v>
      </c>
      <c r="L31" s="39">
        <v>54.04</v>
      </c>
      <c r="M31" s="38">
        <v>800114.6</v>
      </c>
      <c r="N31" s="40">
        <v>0.32340000000000002</v>
      </c>
      <c r="O31" s="3">
        <f>(H31-G31+Hypothèses_Scenario_0!$L$8*G31/C31-Q31*R31)/1000</f>
        <v>4553.9953447999997</v>
      </c>
      <c r="P31" s="50">
        <f>Hypothèses_Scenario_0!$K$8*(1+A25)-Data_Lucy!L31</f>
        <v>27.325303600000119</v>
      </c>
      <c r="Q31" s="84">
        <f>B31*Hypothèses_Scenario_0!$L$17</f>
        <v>17690.400000000001</v>
      </c>
      <c r="R31" s="51">
        <f>J31*Hypothèses_Scenario_0!$J$11-S31-L31</f>
        <v>9.276874191651963</v>
      </c>
      <c r="S31" s="87">
        <f t="shared" si="3"/>
        <v>14.00512580834803</v>
      </c>
    </row>
    <row r="34" spans="1:19">
      <c r="A34" s="53">
        <v>-0.1</v>
      </c>
      <c r="B34" t="s">
        <v>16</v>
      </c>
      <c r="C34" t="s">
        <v>17</v>
      </c>
      <c r="D34" t="s">
        <v>18</v>
      </c>
      <c r="E34" t="s">
        <v>19</v>
      </c>
      <c r="F34" t="s">
        <v>20</v>
      </c>
      <c r="G34" t="s">
        <v>21</v>
      </c>
      <c r="H34" t="s">
        <v>22</v>
      </c>
      <c r="I34" t="s">
        <v>6</v>
      </c>
      <c r="J34" t="s">
        <v>5</v>
      </c>
      <c r="K34" t="s">
        <v>7</v>
      </c>
      <c r="L34" t="s">
        <v>8</v>
      </c>
      <c r="M34" t="s">
        <v>9</v>
      </c>
    </row>
    <row r="35" spans="1:19">
      <c r="B35" s="38">
        <v>889800</v>
      </c>
      <c r="C35" s="38">
        <v>900600</v>
      </c>
      <c r="D35" s="38">
        <v>53104863</v>
      </c>
      <c r="E35" s="38">
        <v>1334700</v>
      </c>
      <c r="F35" s="38">
        <v>30691641.780000001</v>
      </c>
      <c r="G35" s="38">
        <v>10510002</v>
      </c>
      <c r="H35" s="38">
        <v>19774514</v>
      </c>
      <c r="I35" s="38">
        <v>3708</v>
      </c>
      <c r="J35" s="39">
        <v>45.37</v>
      </c>
      <c r="K35" s="38">
        <v>54</v>
      </c>
      <c r="L35" s="39">
        <v>35.99</v>
      </c>
      <c r="M35" s="38">
        <v>1304007.28</v>
      </c>
      <c r="N35" s="40">
        <v>0.32329999999999998</v>
      </c>
      <c r="O35" s="3">
        <f>(H35-G35+Hypothèses_Scenario_0!$L$3*G35/C35-Q35*R35)/1000</f>
        <v>14184.291080000001</v>
      </c>
      <c r="P35" s="50">
        <f>Hypothèses_Scenario_0!$K$3*(1+A34)-Data_Lucy!L35</f>
        <v>27.119492543439897</v>
      </c>
      <c r="Q35" s="84">
        <f>B35*Hypothèses_Scenario_0!$L$12</f>
        <v>57837</v>
      </c>
      <c r="R35" s="51">
        <f>J35*Hypothèses_Scenario_0!$J$11-L35-S35</f>
        <v>15.716354686446383</v>
      </c>
      <c r="S35" s="87">
        <f>G35/B35</f>
        <v>11.811645313553608</v>
      </c>
    </row>
    <row r="36" spans="1:19">
      <c r="B36" s="38">
        <v>251640</v>
      </c>
      <c r="C36" s="38">
        <v>257840</v>
      </c>
      <c r="D36" s="38">
        <v>19215006</v>
      </c>
      <c r="E36" s="38">
        <v>377460</v>
      </c>
      <c r="F36" s="38">
        <v>11795921.27</v>
      </c>
      <c r="G36" s="38">
        <v>3094080</v>
      </c>
      <c r="H36" s="38">
        <v>6343188</v>
      </c>
      <c r="I36" s="38">
        <v>1049</v>
      </c>
      <c r="J36" s="39">
        <v>45.2</v>
      </c>
      <c r="K36" s="38">
        <v>31</v>
      </c>
      <c r="L36" s="39">
        <v>48.38</v>
      </c>
      <c r="M36" s="38">
        <v>698436.35</v>
      </c>
      <c r="N36" s="40">
        <v>0.32340000000000002</v>
      </c>
      <c r="O36" s="3">
        <f>(H36-G36+Hypothèses_Scenario_0!$L$4*G36/C36-Q36*R36)/1000</f>
        <v>8534.1450599999989</v>
      </c>
      <c r="P36" s="50">
        <f>Hypothèses_Scenario_0!$K$4*(1+A34)-Data_Lucy!L36</f>
        <v>18.696999999999868</v>
      </c>
      <c r="Q36" s="84">
        <f>B36*Hypothèses_Scenario_0!$L$13</f>
        <v>16356.6</v>
      </c>
      <c r="R36" s="51">
        <f>J36*Hypothèses_Scenario_0!$J$11-L36-S36</f>
        <v>2.6043395326657119</v>
      </c>
      <c r="S36" s="87">
        <f t="shared" ref="S36:S40" si="4">G36/B36</f>
        <v>12.295660467334287</v>
      </c>
    </row>
    <row r="37" spans="1:19">
      <c r="B37" s="38">
        <v>249960</v>
      </c>
      <c r="C37" s="38">
        <v>267360</v>
      </c>
      <c r="D37" s="38">
        <v>19281119</v>
      </c>
      <c r="E37" s="38">
        <v>374940</v>
      </c>
      <c r="F37" s="38">
        <v>12364918.9</v>
      </c>
      <c r="G37" s="38">
        <v>3331305.6</v>
      </c>
      <c r="H37" s="38">
        <v>4322562</v>
      </c>
      <c r="I37" s="38">
        <v>1042</v>
      </c>
      <c r="J37" s="39">
        <v>46.99</v>
      </c>
      <c r="K37" s="38">
        <v>87</v>
      </c>
      <c r="L37" s="39">
        <v>50.97</v>
      </c>
      <c r="M37" s="38">
        <v>2218697.5699999998</v>
      </c>
      <c r="N37" s="40">
        <v>0.32429999999999998</v>
      </c>
      <c r="O37" s="3">
        <f>(H37-G37+Hypothèses_Scenario_0!$L$5*G37/C37-Q37*R37)/1000</f>
        <v>5461.7070236</v>
      </c>
      <c r="P37" s="50">
        <f>Hypothèses_Scenario_0!$K$5*(1+A34)-Data_Lucy!L37</f>
        <v>18.780000000000513</v>
      </c>
      <c r="Q37" s="84">
        <f>B37*Hypothèses_Scenario_0!$L$14</f>
        <v>16247.400000000001</v>
      </c>
      <c r="R37" s="51">
        <f>J37*Hypothèses_Scenario_0!$J$11-S37-L37</f>
        <v>1.4886452232357215</v>
      </c>
      <c r="S37" s="87">
        <f t="shared" si="4"/>
        <v>13.327354776764283</v>
      </c>
    </row>
    <row r="38" spans="1:19">
      <c r="B38" s="38">
        <v>323880</v>
      </c>
      <c r="C38" s="38">
        <v>346480</v>
      </c>
      <c r="D38" s="38">
        <v>26004089</v>
      </c>
      <c r="E38" s="38">
        <v>485820</v>
      </c>
      <c r="F38" s="38">
        <v>16513666.810000001</v>
      </c>
      <c r="G38" s="38">
        <v>4542352.8</v>
      </c>
      <c r="H38" s="38">
        <v>6088755</v>
      </c>
      <c r="I38" s="38">
        <v>1350</v>
      </c>
      <c r="J38" s="39">
        <v>50.09</v>
      </c>
      <c r="K38" s="38">
        <v>113</v>
      </c>
      <c r="L38" s="39">
        <v>52.49</v>
      </c>
      <c r="M38" s="38">
        <v>2915846.91</v>
      </c>
      <c r="N38" s="40">
        <v>0.3246</v>
      </c>
      <c r="O38" s="3">
        <f>(H38-G38+Hypothèses_Scenario_0!$L$6*G38/C38-Q38*R38)/1000</f>
        <v>4380.5992608000006</v>
      </c>
      <c r="P38" s="50">
        <f>Hypothèses_Scenario_0!$K$6*(1+A34)-Data_Lucy!L38</f>
        <v>21.310000000000109</v>
      </c>
      <c r="Q38" s="84">
        <f>B38*Hypothèses_Scenario_0!$L$15</f>
        <v>21052.2</v>
      </c>
      <c r="R38" s="51">
        <f>J38*Hypothèses_Scenario_0!$J$11-S38-L38</f>
        <v>3.6111982215635479</v>
      </c>
      <c r="S38" s="87">
        <f t="shared" si="4"/>
        <v>14.024801778436457</v>
      </c>
    </row>
    <row r="39" spans="1:19">
      <c r="B39" s="38">
        <v>444240</v>
      </c>
      <c r="C39" s="38">
        <v>452240</v>
      </c>
      <c r="D39" s="38">
        <v>36865538</v>
      </c>
      <c r="E39" s="38">
        <v>666360</v>
      </c>
      <c r="F39" s="38">
        <v>23052270.149999999</v>
      </c>
      <c r="G39" s="38">
        <v>6059301.46</v>
      </c>
      <c r="H39" s="38">
        <v>12104360</v>
      </c>
      <c r="I39" s="38">
        <v>1851</v>
      </c>
      <c r="J39" s="39">
        <v>51.19</v>
      </c>
      <c r="K39" s="38">
        <v>40</v>
      </c>
      <c r="L39" s="39">
        <v>53.39</v>
      </c>
      <c r="M39" s="38">
        <v>1042547.61</v>
      </c>
      <c r="N39" s="40">
        <v>0.32300000000000001</v>
      </c>
      <c r="O39" s="3">
        <f>(H39-G39+Hypothèses_Scenario_0!$L$7*G39/C39-Q39*R39)/1000</f>
        <v>5911.1826693000003</v>
      </c>
      <c r="P39" s="50">
        <f>Hypothèses_Scenario_0!$K$7*(1+A34)-Data_Lucy!L39</f>
        <v>22.033600000000121</v>
      </c>
      <c r="Q39" s="84">
        <f>B39*Hypothèses_Scenario_0!$L$16</f>
        <v>28875.600000000002</v>
      </c>
      <c r="R39" s="51">
        <f>J39*Hypothèses_Scenario_0!$J$11-S39-L39</f>
        <v>4.6362974518278364</v>
      </c>
      <c r="S39" s="87">
        <f t="shared" si="4"/>
        <v>13.63970254817216</v>
      </c>
    </row>
    <row r="40" spans="1:19">
      <c r="B40" s="38">
        <v>236400</v>
      </c>
      <c r="C40" s="38">
        <v>241600</v>
      </c>
      <c r="D40" s="38">
        <v>20294206</v>
      </c>
      <c r="E40" s="38">
        <v>354600</v>
      </c>
      <c r="F40" s="38">
        <v>12430389.33</v>
      </c>
      <c r="G40" s="38">
        <v>3308273.55</v>
      </c>
      <c r="H40" s="38">
        <v>6841226</v>
      </c>
      <c r="I40" s="38">
        <v>985</v>
      </c>
      <c r="J40" s="39">
        <v>52.33</v>
      </c>
      <c r="K40" s="38">
        <v>26</v>
      </c>
      <c r="L40" s="39">
        <v>54.08</v>
      </c>
      <c r="M40" s="38">
        <v>667990.65</v>
      </c>
      <c r="N40" s="40">
        <v>0.3231</v>
      </c>
      <c r="O40" s="3">
        <f>(H40-G40+Hypothèses_Scenario_0!$L$8*G40/C40-Q40*R40)/1000</f>
        <v>3453.2396187500003</v>
      </c>
      <c r="P40" s="50">
        <f>Hypothèses_Scenario_0!$K$8*(1+A34)-Data_Lucy!L40</f>
        <v>23.002919200000122</v>
      </c>
      <c r="Q40" s="84">
        <f>B40*Hypothèses_Scenario_0!$L$17</f>
        <v>15366</v>
      </c>
      <c r="R40" s="51">
        <f>J40*Hypothèses_Scenario_0!$J$11-S40-L40</f>
        <v>5.1876110406091271</v>
      </c>
      <c r="S40" s="87">
        <f t="shared" si="4"/>
        <v>13.994388959390863</v>
      </c>
    </row>
    <row r="41" spans="1:19">
      <c r="Q41" s="8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S41"/>
  <sheetViews>
    <sheetView topLeftCell="C1" workbookViewId="0">
      <selection activeCell="Q3" sqref="Q3"/>
    </sheetView>
  </sheetViews>
  <sheetFormatPr baseColWidth="10" defaultRowHeight="12.75"/>
  <cols>
    <col min="1" max="1" width="4.85546875" customWidth="1"/>
    <col min="2" max="3" width="10.42578125" bestFit="1" customWidth="1"/>
    <col min="4" max="4" width="12.5703125" bestFit="1" customWidth="1"/>
    <col min="5" max="5" width="12.85546875" customWidth="1"/>
    <col min="6" max="6" width="13.5703125" bestFit="1" customWidth="1"/>
    <col min="7" max="7" width="11.42578125" bestFit="1" customWidth="1"/>
    <col min="8" max="8" width="18.28515625" bestFit="1" customWidth="1"/>
    <col min="9" max="9" width="6.85546875" bestFit="1" customWidth="1"/>
    <col min="10" max="10" width="5.85546875" bestFit="1" customWidth="1"/>
    <col min="11" max="11" width="9.5703125" customWidth="1"/>
    <col min="12" max="12" width="11.28515625" customWidth="1"/>
    <col min="13" max="13" width="14" bestFit="1" customWidth="1"/>
    <col min="14" max="14" width="6.42578125" bestFit="1" customWidth="1"/>
    <col min="15" max="15" width="10.5703125" customWidth="1"/>
    <col min="16" max="16" width="9.5703125" customWidth="1"/>
    <col min="19" max="19" width="13.85546875" bestFit="1" customWidth="1"/>
  </cols>
  <sheetData>
    <row r="1" spans="1:19"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6</v>
      </c>
      <c r="J1" t="s">
        <v>5</v>
      </c>
      <c r="K1" t="s">
        <v>7</v>
      </c>
      <c r="L1" t="s">
        <v>8</v>
      </c>
      <c r="M1" t="s">
        <v>9</v>
      </c>
      <c r="O1" s="49" t="s">
        <v>33</v>
      </c>
      <c r="P1" s="49" t="s">
        <v>34</v>
      </c>
      <c r="Q1" s="70" t="s">
        <v>45</v>
      </c>
      <c r="R1" s="70" t="s">
        <v>47</v>
      </c>
      <c r="S1" s="70" t="s">
        <v>49</v>
      </c>
    </row>
    <row r="2" spans="1:19">
      <c r="A2" s="37"/>
      <c r="B2" s="38">
        <v>939555</v>
      </c>
      <c r="C2" s="38">
        <v>1033829.28</v>
      </c>
      <c r="D2" s="38">
        <v>56978179</v>
      </c>
      <c r="E2" s="38">
        <v>1738177</v>
      </c>
      <c r="F2" s="38">
        <v>32279315.780000001</v>
      </c>
      <c r="G2" s="38">
        <v>12064787.699999999</v>
      </c>
      <c r="H2" s="38">
        <v>22798180</v>
      </c>
      <c r="I2" s="38">
        <v>4583</v>
      </c>
      <c r="J2" s="39">
        <v>50.42</v>
      </c>
      <c r="K2" s="38">
        <v>6</v>
      </c>
      <c r="L2" s="39">
        <v>36.21</v>
      </c>
      <c r="M2" s="38">
        <v>162506.06</v>
      </c>
      <c r="N2" s="40">
        <v>0.3054</v>
      </c>
      <c r="O2" s="3">
        <f>(H2-G2+Hypothèses_Scenario_0!$M$3*G2/C2-Q2*R2)/1000</f>
        <v>14742.437778901301</v>
      </c>
      <c r="P2" s="50">
        <f>Hypothèses_Scenario_0!$K$3-Data_Provence_4!L2</f>
        <v>33.911658381599885</v>
      </c>
      <c r="Q2" s="84">
        <f>Hypothèses_Scenario_0!$M$12*B2</f>
        <v>140933.25</v>
      </c>
      <c r="R2" s="51">
        <f>Hypothèses_Scenario_0!$J$11*J2-L2-S2</f>
        <v>21.537040503216943</v>
      </c>
      <c r="S2" s="87">
        <f>G2/B2</f>
        <v>12.84095949678305</v>
      </c>
    </row>
    <row r="3" spans="1:19">
      <c r="A3" s="37"/>
      <c r="B3" s="38">
        <v>811330</v>
      </c>
      <c r="C3" s="38">
        <v>893294.68</v>
      </c>
      <c r="D3" s="38">
        <v>50425926</v>
      </c>
      <c r="E3" s="38">
        <v>1500961</v>
      </c>
      <c r="F3" s="38">
        <v>29373646.18</v>
      </c>
      <c r="G3" s="38">
        <v>10719536.16</v>
      </c>
      <c r="H3" s="38">
        <v>19379995</v>
      </c>
      <c r="I3" s="38">
        <v>3958</v>
      </c>
      <c r="J3" s="39">
        <v>50.23</v>
      </c>
      <c r="K3" s="38">
        <v>6</v>
      </c>
      <c r="L3" s="39">
        <v>38.049999999999997</v>
      </c>
      <c r="M3" s="38">
        <v>171324.59</v>
      </c>
      <c r="N3" s="40">
        <v>0.3034</v>
      </c>
      <c r="O3" s="3">
        <f>(H3-G3+Hypothèses_Scenario_0!$M$4*G3/C3-Q3*R3)/1000</f>
        <v>12779.5942</v>
      </c>
      <c r="P3" s="50">
        <f>Hypothèses_Scenario_0!$K$4-Data_Provence_4!L3</f>
        <v>36.479999999999862</v>
      </c>
      <c r="Q3" s="84">
        <f>Hypothèses_Scenario_0!$M$13*B3</f>
        <v>121699.5</v>
      </c>
      <c r="R3" s="51">
        <f>Hypothèses_Scenario_0!$J$11*J3-L3-S3</f>
        <v>19.059699012732171</v>
      </c>
      <c r="S3" s="87">
        <f t="shared" ref="S3:S7" si="0">G3/B3</f>
        <v>13.21230098726782</v>
      </c>
    </row>
    <row r="4" spans="1:19">
      <c r="A4" s="37"/>
      <c r="B4" s="38">
        <v>860655</v>
      </c>
      <c r="C4" s="38">
        <v>946675.38</v>
      </c>
      <c r="D4" s="38">
        <v>52897555</v>
      </c>
      <c r="E4" s="38">
        <v>1592212</v>
      </c>
      <c r="F4" s="38">
        <v>32609427.359999999</v>
      </c>
      <c r="G4" s="38">
        <v>11795575.23</v>
      </c>
      <c r="H4" s="38">
        <v>18552461</v>
      </c>
      <c r="I4" s="38">
        <v>4198</v>
      </c>
      <c r="J4" s="39">
        <v>52.22</v>
      </c>
      <c r="K4" s="38">
        <v>5</v>
      </c>
      <c r="L4" s="39">
        <v>39.74</v>
      </c>
      <c r="M4" s="38">
        <v>143454.96</v>
      </c>
      <c r="N4" s="40">
        <v>0.30170000000000002</v>
      </c>
      <c r="O4" s="3">
        <f>(H4-G4+Hypothèses_Scenario_0!$M$5*G4/C4-Q4*R4)/1000</f>
        <v>9650.4466492895535</v>
      </c>
      <c r="P4" s="50">
        <f>Hypothèses_Scenario_0!$K$5-Data_Provence_4!L4</f>
        <v>37.760000000000566</v>
      </c>
      <c r="Q4" s="84">
        <f>Hypothèses_Scenario_0!$M$14*B4</f>
        <v>129098.25</v>
      </c>
      <c r="R4" s="51">
        <f>Hypothèses_Scenario_0!$J$11*J4-L4-S4</f>
        <v>19.662653223417038</v>
      </c>
      <c r="S4" s="87">
        <f t="shared" si="0"/>
        <v>13.705346776582951</v>
      </c>
    </row>
    <row r="5" spans="1:19">
      <c r="A5" s="37"/>
      <c r="B5" s="38">
        <v>1055575</v>
      </c>
      <c r="C5" s="38">
        <v>1161666.7</v>
      </c>
      <c r="D5" s="38">
        <v>67323379</v>
      </c>
      <c r="E5" s="38">
        <v>1952814</v>
      </c>
      <c r="F5" s="38">
        <v>40781642.969999999</v>
      </c>
      <c r="G5" s="38">
        <v>15229450.439999999</v>
      </c>
      <c r="H5" s="38">
        <v>24387816</v>
      </c>
      <c r="I5" s="38">
        <v>5149</v>
      </c>
      <c r="J5" s="39">
        <v>55.66</v>
      </c>
      <c r="K5" s="38">
        <v>7</v>
      </c>
      <c r="L5" s="39">
        <v>40.479999999999997</v>
      </c>
      <c r="M5" s="38">
        <v>201106.04</v>
      </c>
      <c r="N5" s="40">
        <v>0.30209999999999998</v>
      </c>
      <c r="O5" s="3">
        <f>(H5-G5+Hypothèses_Scenario_0!$M$6*G5/C5-Q5*R5)/1000</f>
        <v>9031.1756496928301</v>
      </c>
      <c r="P5" s="50">
        <f>Hypothèses_Scenario_0!$K$6-Data_Provence_4!L5</f>
        <v>41.520000000000131</v>
      </c>
      <c r="Q5" s="84">
        <f>Hypothèses_Scenario_0!$M$15*B5</f>
        <v>158336.25</v>
      </c>
      <c r="R5" s="51">
        <f>Hypothèses_Scenario_0!$J$11*J5-L5-S5</f>
        <v>23.016365355375029</v>
      </c>
      <c r="S5" s="87">
        <f t="shared" si="0"/>
        <v>14.427634644624966</v>
      </c>
    </row>
    <row r="6" spans="1:19">
      <c r="A6" s="37"/>
      <c r="B6" s="38">
        <v>830580</v>
      </c>
      <c r="C6" s="38">
        <v>917110.68</v>
      </c>
      <c r="D6" s="38">
        <v>61075231</v>
      </c>
      <c r="E6" s="38">
        <v>1536573</v>
      </c>
      <c r="F6" s="38">
        <v>32002949.609999999</v>
      </c>
      <c r="G6" s="38">
        <v>12287834.08</v>
      </c>
      <c r="H6" s="38">
        <v>27247491</v>
      </c>
      <c r="I6" s="38">
        <v>4052</v>
      </c>
      <c r="J6" s="39">
        <v>56.88</v>
      </c>
      <c r="K6" s="38">
        <v>10</v>
      </c>
      <c r="L6" s="39">
        <v>40.380000000000003</v>
      </c>
      <c r="M6" s="38">
        <v>288217.21999999997</v>
      </c>
      <c r="N6" s="40">
        <v>0.30599999999999999</v>
      </c>
      <c r="O6" s="3">
        <f>(H6-G6+Hypothèses_Scenario_0!$M$7*G6/C6-Q6*R6)/1000</f>
        <v>11912.543108</v>
      </c>
      <c r="P6" s="50">
        <f>Hypothèses_Scenario_0!$K$7-Data_Provence_4!L6</f>
        <v>43.424000000000127</v>
      </c>
      <c r="Q6" s="84">
        <f>Hypothèses_Scenario_0!$M$16*B6</f>
        <v>124587</v>
      </c>
      <c r="R6" s="51">
        <f>Hypothèses_Scenario_0!$J$11*J6-L6-S6</f>
        <v>24.457718798911607</v>
      </c>
      <c r="S6" s="87">
        <f t="shared" si="0"/>
        <v>14.794281201088396</v>
      </c>
    </row>
    <row r="7" spans="1:19">
      <c r="A7" s="37"/>
      <c r="B7" s="38">
        <v>983400</v>
      </c>
      <c r="C7" s="38">
        <v>1083921.8999999999</v>
      </c>
      <c r="D7" s="38">
        <v>69930990</v>
      </c>
      <c r="E7" s="38">
        <v>1819290</v>
      </c>
      <c r="F7" s="38">
        <v>38543003.840000004</v>
      </c>
      <c r="G7" s="38">
        <v>14842343.359999999</v>
      </c>
      <c r="H7" s="38">
        <v>29309026</v>
      </c>
      <c r="I7" s="38">
        <v>4797</v>
      </c>
      <c r="J7" s="39">
        <v>58.13</v>
      </c>
      <c r="K7" s="38">
        <v>9</v>
      </c>
      <c r="L7" s="39">
        <v>41.04</v>
      </c>
      <c r="M7" s="38">
        <v>259669.82</v>
      </c>
      <c r="N7" s="40">
        <v>0.3039</v>
      </c>
      <c r="O7" s="3">
        <f>(H7-G7+Hypothèses_Scenario_0!$M$8*G7/C7-Q7*R7)/1000</f>
        <v>10742.185723999999</v>
      </c>
      <c r="P7" s="50">
        <f>Hypothèses_Scenario_0!$K$8-Data_Provence_4!L7</f>
        <v>44.607688000000131</v>
      </c>
      <c r="Q7" s="84">
        <f>Hypothèses_Scenario_0!$M$17*B7</f>
        <v>147510</v>
      </c>
      <c r="R7" s="51">
        <f>Hypothèses_Scenario_0!$J$11*J7-L7-S7</f>
        <v>25.249114744763073</v>
      </c>
      <c r="S7" s="87">
        <f t="shared" si="0"/>
        <v>15.092885255236933</v>
      </c>
    </row>
    <row r="8" spans="1:19">
      <c r="F8" s="51"/>
      <c r="L8" s="51"/>
      <c r="Q8" s="84"/>
    </row>
    <row r="9" spans="1:19">
      <c r="A9" s="53">
        <v>0.1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 t="s">
        <v>21</v>
      </c>
      <c r="H9" t="s">
        <v>22</v>
      </c>
      <c r="I9" t="s">
        <v>6</v>
      </c>
      <c r="J9" t="s">
        <v>5</v>
      </c>
      <c r="K9" t="s">
        <v>7</v>
      </c>
      <c r="L9" t="s">
        <v>8</v>
      </c>
      <c r="M9" t="s">
        <v>9</v>
      </c>
    </row>
    <row r="10" spans="1:19">
      <c r="B10" s="38">
        <v>1278050</v>
      </c>
      <c r="C10" s="38">
        <v>1402781.3</v>
      </c>
      <c r="D10" s="38">
        <v>79953397</v>
      </c>
      <c r="E10" s="38">
        <v>2364393</v>
      </c>
      <c r="F10" s="38">
        <v>43989874.729999997</v>
      </c>
      <c r="G10" s="38">
        <v>16370457.77</v>
      </c>
      <c r="H10" s="38">
        <v>33518139</v>
      </c>
      <c r="I10" s="38">
        <v>6234</v>
      </c>
      <c r="J10" s="39">
        <v>55.46</v>
      </c>
      <c r="K10" s="38">
        <v>3</v>
      </c>
      <c r="L10" s="39">
        <v>36.270000000000003</v>
      </c>
      <c r="M10" s="38">
        <v>80991.19</v>
      </c>
      <c r="N10" s="40">
        <v>0.30499999999999999</v>
      </c>
      <c r="O10" s="3">
        <f>(H10-G10+Hypothèses_Scenario_0!$M$3*G10/C10-Q10*R10)/1000</f>
        <v>18715.874381069698</v>
      </c>
      <c r="P10" s="50">
        <f>Hypothèses_Scenario_0!$K3*(1+$A$9)-Data_Provence_4!L10</f>
        <v>40.863824219759884</v>
      </c>
      <c r="Q10" s="84">
        <f>Hypothèses_Scenario_0!$M$12*Data_Provence_4!B10</f>
        <v>191707.5</v>
      </c>
      <c r="R10" s="51">
        <f>Hypothèses_Scenario_0!$J$11*J10-L10-S10</f>
        <v>28.565066257188676</v>
      </c>
      <c r="S10" s="87">
        <f>G10/B10</f>
        <v>12.808933742811314</v>
      </c>
    </row>
    <row r="11" spans="1:19">
      <c r="B11" s="38">
        <v>1194780</v>
      </c>
      <c r="C11" s="38">
        <v>1311517.3799999999</v>
      </c>
      <c r="D11" s="38">
        <v>75290046</v>
      </c>
      <c r="E11" s="38">
        <v>2210343</v>
      </c>
      <c r="F11" s="38">
        <v>43305467.479999997</v>
      </c>
      <c r="G11" s="38">
        <v>15738208.560000001</v>
      </c>
      <c r="H11" s="38">
        <v>29688274</v>
      </c>
      <c r="I11" s="38">
        <v>5828</v>
      </c>
      <c r="J11" s="39">
        <v>55.25</v>
      </c>
      <c r="K11" s="38">
        <v>3</v>
      </c>
      <c r="L11" s="39">
        <v>38.1</v>
      </c>
      <c r="M11" s="38">
        <v>85961.46</v>
      </c>
      <c r="N11" s="40">
        <v>0.30309999999999998</v>
      </c>
      <c r="O11" s="3">
        <f>(H11-G11+Hypothèses_Scenario_0!$M$4*G11/C11-Q11*R11)/1000</f>
        <v>15715.220674000002</v>
      </c>
      <c r="P11" s="50">
        <f>Hypothèses_Scenario_0!$K4*(1+$A$9)-Data_Provence_4!L11</f>
        <v>43.882999999999846</v>
      </c>
      <c r="Q11" s="84">
        <f>Hypothèses_Scenario_0!$M$13*Data_Provence_4!B11</f>
        <v>179217</v>
      </c>
      <c r="R11" s="51">
        <f>Hypothèses_Scenario_0!$J$11*J11-L11-S11</f>
        <v>26.077525937829549</v>
      </c>
      <c r="S11" s="87">
        <f t="shared" ref="S11:S15" si="1">G11/B11</f>
        <v>13.172474062170442</v>
      </c>
    </row>
    <row r="12" spans="1:19">
      <c r="B12" s="38">
        <v>1180550</v>
      </c>
      <c r="C12" s="38">
        <v>1295921.3</v>
      </c>
      <c r="D12" s="38">
        <v>75787876</v>
      </c>
      <c r="E12" s="38">
        <v>2184018</v>
      </c>
      <c r="F12" s="38">
        <v>44570855.609999999</v>
      </c>
      <c r="G12" s="38">
        <v>16147179.4</v>
      </c>
      <c r="H12" s="38">
        <v>28947164</v>
      </c>
      <c r="I12" s="38">
        <v>5759</v>
      </c>
      <c r="J12" s="39">
        <v>57.44</v>
      </c>
      <c r="K12" s="38">
        <v>3</v>
      </c>
      <c r="L12" s="39">
        <v>39.6</v>
      </c>
      <c r="M12" s="38">
        <v>85838.82</v>
      </c>
      <c r="N12" s="40">
        <v>0.30270000000000002</v>
      </c>
      <c r="O12" s="3">
        <f>(H12-G12+Hypothèses_Scenario_0!$M$5*G12/C12-Q12*R12)/1000</f>
        <v>13426.237193672809</v>
      </c>
      <c r="P12" s="50">
        <f>Hypothèses_Scenario_0!$K5*(1+$A$9)-Data_Provence_4!L12</f>
        <v>45.650000000000624</v>
      </c>
      <c r="Q12" s="84">
        <f>Hypothèses_Scenario_0!$M$14*Data_Provence_4!B12</f>
        <v>177082.5</v>
      </c>
      <c r="R12" s="51">
        <f>Hypothèses_Scenario_0!$J$11*J12-L12-S12</f>
        <v>27.138324848587516</v>
      </c>
      <c r="S12" s="87">
        <f t="shared" si="1"/>
        <v>13.677675151412478</v>
      </c>
    </row>
    <row r="13" spans="1:19">
      <c r="B13" s="38">
        <v>1333230</v>
      </c>
      <c r="C13" s="38">
        <v>1464617.58</v>
      </c>
      <c r="D13" s="38">
        <v>89842798</v>
      </c>
      <c r="E13" s="38">
        <v>2466476</v>
      </c>
      <c r="F13" s="38">
        <v>51226868.810000002</v>
      </c>
      <c r="G13" s="38">
        <v>19201136.469999999</v>
      </c>
      <c r="H13" s="38">
        <v>36006145</v>
      </c>
      <c r="I13" s="38">
        <v>6504</v>
      </c>
      <c r="J13" s="39">
        <v>61.22</v>
      </c>
      <c r="K13" s="38">
        <v>5</v>
      </c>
      <c r="L13" s="39">
        <v>40.270000000000003</v>
      </c>
      <c r="M13" s="38">
        <v>143308.84</v>
      </c>
      <c r="N13" s="40">
        <v>0.30370000000000003</v>
      </c>
      <c r="O13" s="3">
        <f>(H13-G13+Hypothèses_Scenario_0!$M$6*G13/C13-Q13*R13)/1000</f>
        <v>14115.418356803943</v>
      </c>
      <c r="P13" s="50">
        <f>Hypothèses_Scenario_0!$K6*(1+$A$9)-Data_Provence_4!L13</f>
        <v>49.930000000000142</v>
      </c>
      <c r="Q13" s="84">
        <f>Hypothèses_Scenario_0!$M$15*Data_Provence_4!B13</f>
        <v>199984.5</v>
      </c>
      <c r="R13" s="51">
        <f>Hypothèses_Scenario_0!$J$11*J13-L13-S13</f>
        <v>31.036031494940854</v>
      </c>
      <c r="S13" s="87">
        <f t="shared" si="1"/>
        <v>14.401968505059141</v>
      </c>
    </row>
    <row r="14" spans="1:19">
      <c r="B14" s="38">
        <v>1060020</v>
      </c>
      <c r="C14" s="38">
        <v>1167217.92</v>
      </c>
      <c r="D14" s="38">
        <v>80435836</v>
      </c>
      <c r="E14" s="38">
        <v>1961037</v>
      </c>
      <c r="F14" s="38">
        <v>40812579.100000001</v>
      </c>
      <c r="G14" s="38">
        <v>15638875.92</v>
      </c>
      <c r="H14" s="38">
        <v>37431292</v>
      </c>
      <c r="I14" s="38">
        <v>5171</v>
      </c>
      <c r="J14" s="39">
        <v>62.57</v>
      </c>
      <c r="K14" s="38">
        <v>8</v>
      </c>
      <c r="L14" s="39">
        <v>40.35</v>
      </c>
      <c r="M14" s="38">
        <v>230927.95</v>
      </c>
      <c r="N14" s="40">
        <v>0.30620000000000003</v>
      </c>
      <c r="O14" s="3">
        <f>(H14-G14+Hypothèses_Scenario_0!$M$7*G14/C14-Q14*R14)/1000</f>
        <v>16625.673724</v>
      </c>
      <c r="P14" s="50">
        <f>Hypothèses_Scenario_0!$K7*(1+$A$9)-Data_Provence_4!L14</f>
        <v>51.834400000000151</v>
      </c>
      <c r="Q14" s="84">
        <f>Hypothèses_Scenario_0!$M$16*Data_Provence_4!B14</f>
        <v>159003</v>
      </c>
      <c r="R14" s="51">
        <f>Hypothèses_Scenario_0!$J$11*J14-L14-S14</f>
        <v>32.49462183732382</v>
      </c>
      <c r="S14" s="87">
        <f t="shared" si="1"/>
        <v>14.753378162676176</v>
      </c>
    </row>
    <row r="15" spans="1:19">
      <c r="B15" s="38">
        <v>1135065</v>
      </c>
      <c r="C15" s="38">
        <v>1250146.74</v>
      </c>
      <c r="D15" s="38">
        <v>85695753</v>
      </c>
      <c r="E15" s="38">
        <v>2099870</v>
      </c>
      <c r="F15" s="38">
        <v>44306147.18</v>
      </c>
      <c r="G15" s="38">
        <v>17118490.890000001</v>
      </c>
      <c r="H15" s="38">
        <v>39029475</v>
      </c>
      <c r="I15" s="38">
        <v>5537</v>
      </c>
      <c r="J15" s="39">
        <v>63.94</v>
      </c>
      <c r="K15" s="38">
        <v>9</v>
      </c>
      <c r="L15" s="39">
        <v>40.880000000000003</v>
      </c>
      <c r="M15" s="38">
        <v>260260.12</v>
      </c>
      <c r="N15" s="40">
        <v>0.30509999999999998</v>
      </c>
      <c r="O15" s="3">
        <f>(H15-G15+Hypothèses_Scenario_0!$M$8*G15/C15-Q15*R15)/1000</f>
        <v>16198.004542500001</v>
      </c>
      <c r="P15" s="50">
        <f>Hypothèses_Scenario_0!$K8*(1+$A$9)-Data_Provence_4!L15</f>
        <v>53.332456800000152</v>
      </c>
      <c r="Q15" s="84">
        <f>Hypothèses_Scenario_0!$M$17*Data_Provence_4!B15</f>
        <v>170259.75</v>
      </c>
      <c r="R15" s="51">
        <f>Hypothèses_Scenario_0!$J$11*J15-L15-S15</f>
        <v>33.554492870452343</v>
      </c>
      <c r="S15" s="87">
        <f t="shared" si="1"/>
        <v>15.081507129547647</v>
      </c>
    </row>
    <row r="16" spans="1:19">
      <c r="B16">
        <v>104406140.25</v>
      </c>
    </row>
    <row r="17" spans="1:19">
      <c r="A17" s="53">
        <v>0.05</v>
      </c>
      <c r="B17" t="s">
        <v>16</v>
      </c>
      <c r="C17" t="s">
        <v>17</v>
      </c>
      <c r="D17" t="s">
        <v>18</v>
      </c>
      <c r="E17" t="s">
        <v>19</v>
      </c>
      <c r="F17" t="s">
        <v>20</v>
      </c>
      <c r="G17" t="s">
        <v>21</v>
      </c>
      <c r="H17" t="s">
        <v>22</v>
      </c>
      <c r="I17" t="s">
        <v>6</v>
      </c>
      <c r="J17" t="s">
        <v>5</v>
      </c>
      <c r="K17" t="s">
        <v>7</v>
      </c>
      <c r="L17" t="s">
        <v>8</v>
      </c>
      <c r="M17" t="s">
        <v>9</v>
      </c>
    </row>
    <row r="18" spans="1:19">
      <c r="B18" s="38">
        <v>1149155</v>
      </c>
      <c r="C18" s="38">
        <v>1263550.8799999999</v>
      </c>
      <c r="D18" s="38">
        <v>70399695</v>
      </c>
      <c r="E18" s="38">
        <v>2125937</v>
      </c>
      <c r="F18" s="38">
        <v>39513428.369999997</v>
      </c>
      <c r="G18" s="38">
        <v>14745638.77</v>
      </c>
      <c r="H18" s="38">
        <v>28596782</v>
      </c>
      <c r="I18" s="38">
        <v>5606</v>
      </c>
      <c r="J18" s="39">
        <v>52.94</v>
      </c>
      <c r="K18" s="38">
        <v>6</v>
      </c>
      <c r="L18" s="39">
        <v>36.229999999999997</v>
      </c>
      <c r="M18" s="38">
        <v>163547.65</v>
      </c>
      <c r="N18" s="40">
        <v>0.30530000000000002</v>
      </c>
      <c r="O18" s="3">
        <f>(H18-G18+Hypothèses_Scenario_0!$M$3*G18/C18-Q18*R18)/1000</f>
        <v>16576.786687191092</v>
      </c>
      <c r="P18" s="50">
        <f>Hypothèses_Scenario_0!$K$3*(1+A17)-Data_Provence_4!L18</f>
        <v>37.39774130067989</v>
      </c>
      <c r="Q18" s="84">
        <f>Hypothèses_Scenario_0!$M$12*Data_Provence_4!B18</f>
        <v>172373.25</v>
      </c>
      <c r="R18" s="51">
        <f>Hypothèses_Scenario_0!$J$11*J18-L18-S18</f>
        <v>25.054276890410769</v>
      </c>
      <c r="S18" s="87">
        <f>G18/B18</f>
        <v>12.83172310958922</v>
      </c>
    </row>
    <row r="19" spans="1:19">
      <c r="B19" s="38">
        <v>852765</v>
      </c>
      <c r="C19" s="38">
        <v>938027.94</v>
      </c>
      <c r="D19" s="38">
        <v>54999982</v>
      </c>
      <c r="E19" s="38">
        <v>1577615</v>
      </c>
      <c r="F19" s="38">
        <v>30778141.43</v>
      </c>
      <c r="G19" s="38">
        <v>11256335.279999999</v>
      </c>
      <c r="H19" s="38">
        <v>22500959</v>
      </c>
      <c r="I19" s="38">
        <v>4160</v>
      </c>
      <c r="J19" s="39">
        <v>52.74</v>
      </c>
      <c r="K19" s="38">
        <v>5</v>
      </c>
      <c r="L19" s="39">
        <v>37.94</v>
      </c>
      <c r="M19" s="38">
        <v>143265.94</v>
      </c>
      <c r="N19" s="40">
        <v>0.30430000000000001</v>
      </c>
      <c r="O19" s="3">
        <f>(H19-G19+Hypothèses_Scenario_0!$M$4*G19/C19-Q19*R19)/1000</f>
        <v>14780.137346000001</v>
      </c>
      <c r="P19" s="50">
        <f>Hypothèses_Scenario_0!$K$4*(1+A17)-Data_Provence_4!L19</f>
        <v>40.316499999999863</v>
      </c>
      <c r="Q19" s="84">
        <f>Hypothèses_Scenario_0!$M$13*Data_Provence_4!B19</f>
        <v>127914.75</v>
      </c>
      <c r="R19" s="51">
        <f>Hypothèses_Scenario_0!$J$11*J19-L19-S19</f>
        <v>22.696190814585499</v>
      </c>
      <c r="S19" s="87">
        <f t="shared" ref="S19:S23" si="2">G19/B19</f>
        <v>13.199809185414503</v>
      </c>
    </row>
    <row r="20" spans="1:19">
      <c r="B20" s="38">
        <v>1069130</v>
      </c>
      <c r="C20" s="38">
        <v>1174484.48</v>
      </c>
      <c r="D20" s="38">
        <v>66724441</v>
      </c>
      <c r="E20" s="38">
        <v>1977891</v>
      </c>
      <c r="F20" s="38">
        <v>40446955.399999999</v>
      </c>
      <c r="G20" s="38">
        <v>14634076.619999999</v>
      </c>
      <c r="H20" s="38">
        <v>24184946</v>
      </c>
      <c r="I20" s="38">
        <v>5215</v>
      </c>
      <c r="J20" s="39">
        <v>54.83</v>
      </c>
      <c r="K20" s="38">
        <v>4</v>
      </c>
      <c r="L20" s="39">
        <v>39.68</v>
      </c>
      <c r="M20" s="38">
        <v>114649.09</v>
      </c>
      <c r="N20" s="40">
        <v>0.30209999999999998</v>
      </c>
      <c r="O20" s="3">
        <f>(H20-G20+Hypothèses_Scenario_0!$M$5*G20/C20-Q20*R20)/1000</f>
        <v>11231.134076703052</v>
      </c>
      <c r="P20" s="50">
        <f>Hypothèses_Scenario_0!$K$5*(1+A17)-Data_Provence_4!L20</f>
        <v>41.695000000000597</v>
      </c>
      <c r="Q20" s="84">
        <f>Hypothèses_Scenario_0!$M$14*Data_Provence_4!B20</f>
        <v>160369.5</v>
      </c>
      <c r="R20" s="51">
        <f>Hypothèses_Scenario_0!$J$11*J20-L20-S20</f>
        <v>23.394163516129925</v>
      </c>
      <c r="S20" s="87">
        <f t="shared" si="2"/>
        <v>13.687836483870061</v>
      </c>
    </row>
    <row r="21" spans="1:19">
      <c r="B21" s="38">
        <v>1289145</v>
      </c>
      <c r="C21" s="38">
        <v>1416300.42</v>
      </c>
      <c r="D21" s="38">
        <v>83566762</v>
      </c>
      <c r="E21" s="38">
        <v>2384918</v>
      </c>
      <c r="F21" s="38">
        <v>49700450.130000003</v>
      </c>
      <c r="G21" s="38">
        <v>18567698.510000002</v>
      </c>
      <c r="H21" s="38">
        <v>31338085</v>
      </c>
      <c r="I21" s="38">
        <v>6289</v>
      </c>
      <c r="J21" s="39">
        <v>58.44</v>
      </c>
      <c r="K21" s="38">
        <v>5</v>
      </c>
      <c r="L21" s="39">
        <v>40.4</v>
      </c>
      <c r="M21" s="38">
        <v>143308.84</v>
      </c>
      <c r="N21" s="40">
        <v>0.30270000000000002</v>
      </c>
      <c r="O21" s="3">
        <f>(H21-G21+Hypothèses_Scenario_0!$M$6*G21/C21-Q21*R21)/1000</f>
        <v>11063.991937219806</v>
      </c>
      <c r="P21" s="50">
        <f>Hypothèses_Scenario_0!$K$6*(1+A17)-Data_Provence_4!L21</f>
        <v>45.700000000000138</v>
      </c>
      <c r="Q21" s="84">
        <f>Hypothèses_Scenario_0!$M$15*Data_Provence_4!B21</f>
        <v>193371.75</v>
      </c>
      <c r="R21" s="51">
        <f>Hypothèses_Scenario_0!$J$11*J21-L21-S21</f>
        <v>27.012889015587838</v>
      </c>
      <c r="S21" s="87">
        <f t="shared" si="2"/>
        <v>14.40311098441215</v>
      </c>
    </row>
    <row r="22" spans="1:19">
      <c r="B22" s="38">
        <v>980375</v>
      </c>
      <c r="C22" s="38">
        <v>1080606.5</v>
      </c>
      <c r="D22" s="38">
        <v>72577814</v>
      </c>
      <c r="E22" s="38">
        <v>1813694</v>
      </c>
      <c r="F22" s="38">
        <v>37800483.049999997</v>
      </c>
      <c r="G22" s="38">
        <v>14478419.74</v>
      </c>
      <c r="H22" s="38">
        <v>32703770</v>
      </c>
      <c r="I22" s="38">
        <v>4782</v>
      </c>
      <c r="J22" s="39">
        <v>59.72</v>
      </c>
      <c r="K22" s="38">
        <v>9</v>
      </c>
      <c r="L22" s="39">
        <v>40.409999999999997</v>
      </c>
      <c r="M22" s="38">
        <v>259867.73</v>
      </c>
      <c r="N22" s="40">
        <v>0.30580000000000002</v>
      </c>
      <c r="O22" s="3">
        <f>(H22-G22+Hypothèses_Scenario_0!$M$7*G22/C22-Q22*R22)/1000</f>
        <v>14044.577333499999</v>
      </c>
      <c r="P22" s="50">
        <f>Hypothèses_Scenario_0!$K$7*(1+A17)-Data_Provence_4!L22</f>
        <v>47.584200000000138</v>
      </c>
      <c r="Q22" s="84">
        <f>Hypothèses_Scenario_0!$M$16*Data_Provence_4!B22</f>
        <v>147056.25</v>
      </c>
      <c r="R22" s="51">
        <f>Hypothèses_Scenario_0!$J$11*J22-L22-S22</f>
        <v>28.429753420884857</v>
      </c>
      <c r="S22" s="87">
        <f t="shared" si="2"/>
        <v>14.768246579115134</v>
      </c>
    </row>
    <row r="23" spans="1:19">
      <c r="B23" s="38">
        <v>1093535</v>
      </c>
      <c r="C23" s="38">
        <v>1204629.8600000001</v>
      </c>
      <c r="D23" s="38">
        <v>79625491</v>
      </c>
      <c r="E23" s="38">
        <v>2023040</v>
      </c>
      <c r="F23" s="38">
        <v>42780055.759999998</v>
      </c>
      <c r="G23" s="38">
        <v>16495219.82</v>
      </c>
      <c r="H23" s="38">
        <v>34562135</v>
      </c>
      <c r="I23" s="38">
        <v>5334</v>
      </c>
      <c r="J23" s="39">
        <v>61.04</v>
      </c>
      <c r="K23" s="38">
        <v>9</v>
      </c>
      <c r="L23" s="39">
        <v>40.97</v>
      </c>
      <c r="M23" s="38">
        <v>260260.12</v>
      </c>
      <c r="N23" s="40">
        <v>0.3044</v>
      </c>
      <c r="O23" s="3">
        <f>(H23-G23+Hypothèses_Scenario_0!$M$8*G23/C23-Q23*R23)/1000</f>
        <v>13244.148451500003</v>
      </c>
      <c r="P23" s="50">
        <f>Hypothèses_Scenario_0!$K$8*(1+A17)-Data_Provence_4!L23</f>
        <v>48.960072400000143</v>
      </c>
      <c r="Q23" s="84">
        <f>Hypothèses_Scenario_0!$M$17*Data_Provence_4!B23</f>
        <v>164030.25</v>
      </c>
      <c r="R23" s="51">
        <f>Hypothèses_Scenario_0!$J$11*J23-L23-S23</f>
        <v>29.401691020406286</v>
      </c>
      <c r="S23" s="87">
        <f t="shared" si="2"/>
        <v>15.084308979593704</v>
      </c>
    </row>
    <row r="25" spans="1:19">
      <c r="A25" s="53">
        <v>-0.05</v>
      </c>
      <c r="B25" t="s">
        <v>16</v>
      </c>
      <c r="C25" t="s">
        <v>17</v>
      </c>
      <c r="D25" t="s">
        <v>18</v>
      </c>
      <c r="E25" t="s">
        <v>19</v>
      </c>
      <c r="F25" t="s">
        <v>20</v>
      </c>
      <c r="G25" t="s">
        <v>21</v>
      </c>
      <c r="H25" t="s">
        <v>22</v>
      </c>
      <c r="I25" t="s">
        <v>6</v>
      </c>
      <c r="J25" t="s">
        <v>5</v>
      </c>
      <c r="K25" t="s">
        <v>7</v>
      </c>
      <c r="L25" t="s">
        <v>8</v>
      </c>
      <c r="M25" t="s">
        <v>9</v>
      </c>
    </row>
    <row r="26" spans="1:19">
      <c r="B26" s="38">
        <v>810665</v>
      </c>
      <c r="C26" s="38">
        <v>891886.34</v>
      </c>
      <c r="D26" s="38">
        <v>48065384</v>
      </c>
      <c r="E26" s="38">
        <v>1499730</v>
      </c>
      <c r="F26" s="38">
        <v>27889660.629999999</v>
      </c>
      <c r="G26" s="38">
        <v>10408313.59</v>
      </c>
      <c r="H26" s="38">
        <v>18541014</v>
      </c>
      <c r="I26" s="38">
        <v>3954</v>
      </c>
      <c r="J26" s="39">
        <v>47.9</v>
      </c>
      <c r="K26" s="38">
        <v>5</v>
      </c>
      <c r="L26" s="39">
        <v>36.25</v>
      </c>
      <c r="M26" s="38">
        <v>134979.01999999999</v>
      </c>
      <c r="N26" s="40">
        <v>0.30520000000000003</v>
      </c>
      <c r="O26" s="3">
        <f>(H26-G26+Hypothèses_Scenario_0!$M$3*G26/C26-Q26*R26)/1000</f>
        <v>12991.78974348896</v>
      </c>
      <c r="P26" s="50">
        <f>Hypothèses_Scenario_0!$K$3*(1+A25)-Data_Provence_4!L26</f>
        <v>30.365575462519885</v>
      </c>
      <c r="Q26" s="84">
        <f>Hypothèses_Scenario_0!$M$12*Data_Provence_4!B26</f>
        <v>121599.75</v>
      </c>
      <c r="R26" s="51">
        <f>Hypothèses_Scenario_0!$J$11*J26-L26-S26</f>
        <v>17.970770984315337</v>
      </c>
      <c r="S26" s="87">
        <f>G26/B26</f>
        <v>12.839229015684653</v>
      </c>
    </row>
    <row r="27" spans="1:19">
      <c r="B27" s="38">
        <v>635320</v>
      </c>
      <c r="C27" s="38">
        <v>699708.22</v>
      </c>
      <c r="D27" s="38">
        <v>39165638</v>
      </c>
      <c r="E27" s="38">
        <v>1175342</v>
      </c>
      <c r="F27" s="38">
        <v>22970446.870000001</v>
      </c>
      <c r="G27" s="38">
        <v>8396498.6400000006</v>
      </c>
      <c r="H27" s="38">
        <v>14877158</v>
      </c>
      <c r="I27" s="38">
        <v>3099</v>
      </c>
      <c r="J27" s="39">
        <v>47.72</v>
      </c>
      <c r="K27" s="38">
        <v>5</v>
      </c>
      <c r="L27" s="39">
        <v>38.01</v>
      </c>
      <c r="M27" s="38">
        <v>142690.99</v>
      </c>
      <c r="N27" s="40">
        <v>0.30370000000000003</v>
      </c>
      <c r="O27" s="3">
        <f>(H27-G27+Hypothèses_Scenario_0!$M$4*G27/C27-Q27*R27)/1000</f>
        <v>11434.433551999999</v>
      </c>
      <c r="P27" s="50">
        <f>Hypothèses_Scenario_0!$K$4*(1+A25)-Data_Provence_4!L27</f>
        <v>32.79349999999986</v>
      </c>
      <c r="Q27" s="84">
        <f>Hypothèses_Scenario_0!$M$13*Data_Provence_4!B27</f>
        <v>95298</v>
      </c>
      <c r="R27" s="51">
        <f>Hypothèses_Scenario_0!$J$11*J27-L27-S27</f>
        <v>15.581827614430518</v>
      </c>
      <c r="S27" s="87">
        <f t="shared" ref="S27:S31" si="3">G27/B27</f>
        <v>13.216172385569477</v>
      </c>
    </row>
    <row r="28" spans="1:19">
      <c r="B28" s="38">
        <v>757470</v>
      </c>
      <c r="C28" s="38">
        <v>833584.62</v>
      </c>
      <c r="D28" s="38">
        <v>44984571</v>
      </c>
      <c r="E28" s="38">
        <v>1401320</v>
      </c>
      <c r="F28" s="38">
        <v>28756770.609999999</v>
      </c>
      <c r="G28" s="38">
        <v>10386464.369999999</v>
      </c>
      <c r="H28" s="38">
        <v>14683025</v>
      </c>
      <c r="I28" s="38">
        <v>3695</v>
      </c>
      <c r="J28" s="39">
        <v>49.61</v>
      </c>
      <c r="K28" s="38">
        <v>5</v>
      </c>
      <c r="L28" s="39">
        <v>39.81</v>
      </c>
      <c r="M28" s="38">
        <v>143454.96</v>
      </c>
      <c r="N28" s="40">
        <v>0.30109999999999998</v>
      </c>
      <c r="O28" s="3">
        <f>(H28-G28+Hypothèses_Scenario_0!$M$5*G28/C28-Q28*R28)/1000</f>
        <v>7918.339189010333</v>
      </c>
      <c r="P28" s="50">
        <f>Hypothèses_Scenario_0!$K$5*(1+A25)-Data_Provence_4!L28</f>
        <v>33.815000000000538</v>
      </c>
      <c r="Q28" s="84">
        <f>Hypothèses_Scenario_0!$M$14*Data_Provence_4!B28</f>
        <v>113620.5</v>
      </c>
      <c r="R28" s="51">
        <f>Hypothèses_Scenario_0!$J$11*J28-L28-S28</f>
        <v>15.931952829815035</v>
      </c>
      <c r="S28" s="87">
        <f t="shared" si="3"/>
        <v>13.712047170184956</v>
      </c>
    </row>
    <row r="29" spans="1:19">
      <c r="B29" s="38">
        <v>869620</v>
      </c>
      <c r="C29" s="38">
        <v>958539.52</v>
      </c>
      <c r="D29" s="38">
        <v>54208419</v>
      </c>
      <c r="E29" s="38">
        <v>1608797</v>
      </c>
      <c r="F29" s="38">
        <v>33651812.880000003</v>
      </c>
      <c r="G29" s="38">
        <v>12566453.109999999</v>
      </c>
      <c r="H29" s="38">
        <v>18717804</v>
      </c>
      <c r="I29" s="38">
        <v>4242</v>
      </c>
      <c r="J29" s="39">
        <v>52.87</v>
      </c>
      <c r="K29" s="38">
        <v>8</v>
      </c>
      <c r="L29" s="39">
        <v>40.549999999999997</v>
      </c>
      <c r="M29" s="38">
        <v>230004.64</v>
      </c>
      <c r="N29" s="40">
        <v>0.30159999999999998</v>
      </c>
      <c r="O29" s="3">
        <f>(H29-G29+Hypothèses_Scenario_0!$M$6*G29/C29-Q29*R29)/1000</f>
        <v>7187.7876012836741</v>
      </c>
      <c r="P29" s="50">
        <f>Hypothèses_Scenario_0!$K$6*(1+A25)-Data_Provence_4!L29</f>
        <v>37.350000000000122</v>
      </c>
      <c r="Q29" s="84">
        <f>Hypothèses_Scenario_0!$M$15*Data_Provence_4!B29</f>
        <v>130443</v>
      </c>
      <c r="R29" s="51">
        <f>Hypothèses_Scenario_0!$J$11*J29-L29-S29</f>
        <v>19.017489305673735</v>
      </c>
      <c r="S29" s="87">
        <f t="shared" si="3"/>
        <v>14.450510694326256</v>
      </c>
    </row>
    <row r="30" spans="1:19">
      <c r="B30" s="38">
        <v>804875</v>
      </c>
      <c r="C30" s="38">
        <v>888258.5</v>
      </c>
      <c r="D30" s="38">
        <v>56699890</v>
      </c>
      <c r="E30" s="38">
        <v>1489019</v>
      </c>
      <c r="F30" s="38">
        <v>31099221.050000001</v>
      </c>
      <c r="G30" s="38">
        <v>11901260.449999999</v>
      </c>
      <c r="H30" s="38">
        <v>23852373</v>
      </c>
      <c r="I30" s="38">
        <v>3926</v>
      </c>
      <c r="J30" s="39">
        <v>54.04</v>
      </c>
      <c r="K30" s="38">
        <v>9</v>
      </c>
      <c r="L30" s="39">
        <v>40.49</v>
      </c>
      <c r="M30" s="38">
        <v>259277.44</v>
      </c>
      <c r="N30" s="40">
        <v>0.30509999999999998</v>
      </c>
      <c r="O30" s="3">
        <f>(H30-G30+Hypothèses_Scenario_0!$M$7*G30/C30-Q30*R30)/1000</f>
        <v>9490.6664800000017</v>
      </c>
      <c r="P30" s="50">
        <f>Hypothèses_Scenario_0!$K$7*(1+A25)-Data_Provence_4!L30</f>
        <v>39.123800000000124</v>
      </c>
      <c r="Q30" s="84">
        <f>Hypothèses_Scenario_0!$M$16*Data_Provence_4!B30</f>
        <v>120731.25</v>
      </c>
      <c r="R30" s="51">
        <f>Hypothèses_Scenario_0!$J$11*J30-L30-S30</f>
        <v>20.379529492157157</v>
      </c>
      <c r="S30" s="87">
        <f t="shared" si="3"/>
        <v>14.786470507842832</v>
      </c>
    </row>
    <row r="31" spans="1:19">
      <c r="B31" s="38">
        <v>802455</v>
      </c>
      <c r="C31" s="38">
        <v>886285.68</v>
      </c>
      <c r="D31" s="38">
        <v>56506596</v>
      </c>
      <c r="E31" s="38">
        <v>1484542</v>
      </c>
      <c r="F31" s="38">
        <v>31442125.699999999</v>
      </c>
      <c r="G31" s="38">
        <v>12136073.99</v>
      </c>
      <c r="H31" s="38">
        <v>23291865</v>
      </c>
      <c r="I31" s="38">
        <v>3914</v>
      </c>
      <c r="J31" s="39">
        <v>55.23</v>
      </c>
      <c r="K31" s="38">
        <v>10</v>
      </c>
      <c r="L31" s="39">
        <v>41.03</v>
      </c>
      <c r="M31" s="38">
        <v>288062.90000000002</v>
      </c>
      <c r="N31" s="40">
        <v>0.30399999999999999</v>
      </c>
      <c r="O31" s="3">
        <f>(H31-G31+Hypothèses_Scenario_0!$M$8*G31/C31-Q31*R31)/1000</f>
        <v>8607.7975795000002</v>
      </c>
      <c r="P31" s="50">
        <f>Hypothèses_Scenario_0!$K$8*(1+A25)-Data_Provence_4!L31</f>
        <v>40.335303600000117</v>
      </c>
      <c r="Q31" s="84">
        <f>Hypothèses_Scenario_0!$M$17*Data_Provence_4!B31</f>
        <v>120368.25</v>
      </c>
      <c r="R31" s="51">
        <f>Hypothèses_Scenario_0!$J$11*J31-L31-S31</f>
        <v>21.168318310684075</v>
      </c>
      <c r="S31" s="87">
        <f t="shared" si="3"/>
        <v>15.123681689315912</v>
      </c>
    </row>
    <row r="32" spans="1:19">
      <c r="B32">
        <v>48168175.68</v>
      </c>
    </row>
    <row r="34" spans="1:19">
      <c r="A34" s="53">
        <v>-0.1</v>
      </c>
      <c r="B34" t="s">
        <v>16</v>
      </c>
      <c r="C34" t="s">
        <v>17</v>
      </c>
      <c r="D34" t="s">
        <v>18</v>
      </c>
      <c r="E34" t="s">
        <v>19</v>
      </c>
      <c r="F34" t="s">
        <v>20</v>
      </c>
      <c r="G34" t="s">
        <v>21</v>
      </c>
      <c r="H34" t="s">
        <v>22</v>
      </c>
      <c r="I34" t="s">
        <v>6</v>
      </c>
      <c r="J34" t="s">
        <v>5</v>
      </c>
      <c r="K34" t="s">
        <v>7</v>
      </c>
      <c r="L34" t="s">
        <v>8</v>
      </c>
      <c r="M34" t="s">
        <v>9</v>
      </c>
    </row>
    <row r="35" spans="1:19">
      <c r="B35" s="38">
        <v>756395</v>
      </c>
      <c r="C35" s="38">
        <v>831726.92</v>
      </c>
      <c r="D35" s="38">
        <v>43008869</v>
      </c>
      <c r="E35" s="38">
        <v>1399331</v>
      </c>
      <c r="F35" s="38">
        <v>26139390.879999999</v>
      </c>
      <c r="G35" s="38">
        <v>9706253.1600000001</v>
      </c>
      <c r="H35" s="38">
        <v>15362560</v>
      </c>
      <c r="I35" s="38">
        <v>3690</v>
      </c>
      <c r="J35" s="39">
        <v>45.37</v>
      </c>
      <c r="K35" s="38">
        <v>4</v>
      </c>
      <c r="L35" s="39">
        <v>36.409999999999997</v>
      </c>
      <c r="M35" s="38">
        <v>107587.54</v>
      </c>
      <c r="N35" s="40">
        <v>0.3039</v>
      </c>
      <c r="O35" s="3">
        <f>(H35-G35+Hypothèses_Scenario_0!$M$3*G35/C35-Q35*R35)/1000</f>
        <v>11080.922058612707</v>
      </c>
      <c r="P35" s="50">
        <f>Hypothèses_Scenario_0!$K$3*(1+A34)-Data_Provence_4!L35</f>
        <v>26.699492543439902</v>
      </c>
      <c r="Q35" s="84">
        <f>Hypothèses_Scenario_0!$M$12*Data_Provence_4!B35</f>
        <v>113459.25</v>
      </c>
      <c r="R35" s="51">
        <f>Hypothèses_Scenario_0!$J$11*J35-L35-S35</f>
        <v>14.275745476900294</v>
      </c>
      <c r="S35" s="87">
        <f>G35/B35</f>
        <v>12.832254523099703</v>
      </c>
    </row>
    <row r="36" spans="1:19">
      <c r="B36" s="38">
        <v>420820</v>
      </c>
      <c r="C36" s="38">
        <v>463936.72</v>
      </c>
      <c r="D36" s="38">
        <v>26547078</v>
      </c>
      <c r="E36" s="38">
        <v>778517</v>
      </c>
      <c r="F36" s="38">
        <v>15150349.619999999</v>
      </c>
      <c r="G36" s="38">
        <v>5567240.6399999997</v>
      </c>
      <c r="H36" s="38">
        <v>10504173</v>
      </c>
      <c r="I36" s="38">
        <v>2053</v>
      </c>
      <c r="J36" s="39">
        <v>45.2</v>
      </c>
      <c r="K36" s="38">
        <v>4</v>
      </c>
      <c r="L36" s="39">
        <v>37.85</v>
      </c>
      <c r="M36" s="38">
        <v>114038.15</v>
      </c>
      <c r="N36" s="40">
        <v>0.30470000000000003</v>
      </c>
      <c r="O36" s="3">
        <f>(H36-G36+Hypothèses_Scenario_0!$M$4*G36/C36-Q36*R36)/1000</f>
        <v>10605.491766000001</v>
      </c>
      <c r="P36" s="50">
        <f>Hypothèses_Scenario_0!$K$4*(1+A34)-Data_Provence_4!L36</f>
        <v>29.226999999999869</v>
      </c>
      <c r="Q36" s="84">
        <f>Hypothèses_Scenario_0!$M$13*Data_Provence_4!B36</f>
        <v>63123</v>
      </c>
      <c r="R36" s="51">
        <f>Hypothèses_Scenario_0!$J$11*J36-L36-S36</f>
        <v>12.200494178033363</v>
      </c>
      <c r="S36" s="87">
        <f t="shared" ref="S36:S40" si="4">G36/B36</f>
        <v>13.229505821966637</v>
      </c>
    </row>
    <row r="37" spans="1:19">
      <c r="B37" s="38">
        <v>684560</v>
      </c>
      <c r="C37" s="38">
        <v>753675.26</v>
      </c>
      <c r="D37" s="38">
        <v>39173632</v>
      </c>
      <c r="E37" s="38">
        <v>1266436</v>
      </c>
      <c r="F37" s="38">
        <v>26142767.100000001</v>
      </c>
      <c r="G37" s="38">
        <v>9390793.7400000002</v>
      </c>
      <c r="H37" s="38">
        <v>11620950</v>
      </c>
      <c r="I37" s="38">
        <v>3339</v>
      </c>
      <c r="J37" s="39">
        <v>46.99</v>
      </c>
      <c r="K37" s="38">
        <v>5</v>
      </c>
      <c r="L37" s="39">
        <v>40.04</v>
      </c>
      <c r="M37" s="38">
        <v>143478.72</v>
      </c>
      <c r="N37" s="40">
        <v>0.29930000000000001</v>
      </c>
      <c r="O37" s="3">
        <f>(H37-G37+Hypothèses_Scenario_0!$M$5*G37/C37-Q37*R37)/1000</f>
        <v>6427.0480602313746</v>
      </c>
      <c r="P37" s="50">
        <f>Hypothèses_Scenario_0!$K$5*(1+A34)-Data_Provence_4!L37</f>
        <v>29.710000000000512</v>
      </c>
      <c r="Q37" s="84">
        <f>Hypothèses_Scenario_0!$M$14*Data_Provence_4!B37</f>
        <v>102684</v>
      </c>
      <c r="R37" s="51">
        <f>Hypothèses_Scenario_0!$J$11*J37-L37-S37</f>
        <v>12.028000496669396</v>
      </c>
      <c r="S37" s="87">
        <f t="shared" si="4"/>
        <v>13.717999503330606</v>
      </c>
    </row>
    <row r="38" spans="1:19">
      <c r="B38" s="38">
        <v>742695</v>
      </c>
      <c r="C38" s="38">
        <v>818750.22</v>
      </c>
      <c r="D38" s="38">
        <v>44683542</v>
      </c>
      <c r="E38" s="38">
        <v>1373986</v>
      </c>
      <c r="F38" s="38">
        <v>28867448.23</v>
      </c>
      <c r="G38" s="38">
        <v>10733815.380000001</v>
      </c>
      <c r="H38" s="38">
        <v>14241002</v>
      </c>
      <c r="I38" s="38">
        <v>3623</v>
      </c>
      <c r="J38" s="39">
        <v>50.09</v>
      </c>
      <c r="K38" s="38">
        <v>7</v>
      </c>
      <c r="L38" s="39">
        <v>40.72</v>
      </c>
      <c r="M38" s="38">
        <v>201106.01</v>
      </c>
      <c r="N38" s="40">
        <v>0.30020000000000002</v>
      </c>
      <c r="O38" s="3">
        <f>(H38-G38+Hypothèses_Scenario_0!$M$6*G38/C38-Q38*R38)/1000</f>
        <v>5358.44061812379</v>
      </c>
      <c r="P38" s="50">
        <f>Hypothèses_Scenario_0!$K$6*(1+A34)-Data_Provence_4!L38</f>
        <v>33.080000000000112</v>
      </c>
      <c r="Q38" s="84">
        <f>Hypothèses_Scenario_0!$M$15*Data_Provence_4!B38</f>
        <v>111404.25</v>
      </c>
      <c r="R38" s="51">
        <f>Hypothèses_Scenario_0!$J$11*J38-L38-S38</f>
        <v>14.953478601579388</v>
      </c>
      <c r="S38" s="87">
        <f t="shared" si="4"/>
        <v>14.452521398420618</v>
      </c>
    </row>
    <row r="39" spans="1:19">
      <c r="B39" s="38">
        <v>696375</v>
      </c>
      <c r="C39" s="38">
        <v>768663</v>
      </c>
      <c r="D39" s="38">
        <v>47948896</v>
      </c>
      <c r="E39" s="38">
        <v>1288294</v>
      </c>
      <c r="F39" s="38">
        <v>26973357.059999999</v>
      </c>
      <c r="G39" s="38">
        <v>10298869.710000001</v>
      </c>
      <c r="H39" s="38">
        <v>19456907</v>
      </c>
      <c r="I39" s="38">
        <v>3397</v>
      </c>
      <c r="J39" s="39">
        <v>51.19</v>
      </c>
      <c r="K39" s="38">
        <v>8</v>
      </c>
      <c r="L39" s="39">
        <v>40.58</v>
      </c>
      <c r="M39" s="38">
        <v>230337.66</v>
      </c>
      <c r="N39" s="40">
        <v>0.3044</v>
      </c>
      <c r="O39" s="3">
        <f>(H39-G39+Hypothèses_Scenario_0!$M$7*G39/C39-Q39*R39)/1000</f>
        <v>7455.7407589999993</v>
      </c>
      <c r="P39" s="50">
        <f>Hypothèses_Scenario_0!$K$7*(1+A34)-Data_Provence_4!L39</f>
        <v>34.843600000000123</v>
      </c>
      <c r="Q39" s="84">
        <f>Hypothèses_Scenario_0!$M$16*Data_Provence_4!B39</f>
        <v>104456.25</v>
      </c>
      <c r="R39" s="51">
        <f>Hypothèses_Scenario_0!$J$11*J39-L39-S39</f>
        <v>16.296741755519655</v>
      </c>
      <c r="S39" s="87">
        <f t="shared" si="4"/>
        <v>14.789258244480346</v>
      </c>
    </row>
    <row r="40" spans="1:19">
      <c r="B40" s="38">
        <v>699180</v>
      </c>
      <c r="C40" s="38">
        <v>773096.28</v>
      </c>
      <c r="D40" s="38">
        <v>47995442</v>
      </c>
      <c r="E40" s="38">
        <v>1293483</v>
      </c>
      <c r="F40" s="38">
        <v>27444276.629999999</v>
      </c>
      <c r="G40" s="38">
        <v>10586150.57</v>
      </c>
      <c r="H40" s="38">
        <v>18969620</v>
      </c>
      <c r="I40" s="38">
        <v>3411</v>
      </c>
      <c r="J40" s="39">
        <v>52.33</v>
      </c>
      <c r="K40" s="38">
        <v>10</v>
      </c>
      <c r="L40" s="39">
        <v>41.1</v>
      </c>
      <c r="M40" s="38">
        <v>288062.90000000002</v>
      </c>
      <c r="N40" s="40">
        <v>0.3034</v>
      </c>
      <c r="O40" s="3">
        <f>(H40-G40+Hypothèses_Scenario_0!$M$8*G40/C40-Q40*R40)/1000</f>
        <v>6598.3379415000018</v>
      </c>
      <c r="P40" s="50">
        <f>Hypothèses_Scenario_0!$K$8*(1+A34)-Data_Provence_4!L40</f>
        <v>35.982919200000119</v>
      </c>
      <c r="Q40" s="84">
        <f>Hypothèses_Scenario_0!$M$17*Data_Provence_4!B40</f>
        <v>104877</v>
      </c>
      <c r="R40" s="51">
        <f>Hypothèses_Scenario_0!$J$11*J40-L40-S40</f>
        <v>17.0211913813324</v>
      </c>
      <c r="S40" s="87">
        <f t="shared" si="4"/>
        <v>15.140808618667583</v>
      </c>
    </row>
    <row r="41" spans="1:19">
      <c r="B41">
        <v>33872088.18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S40"/>
  <sheetViews>
    <sheetView workbookViewId="0">
      <selection activeCell="I18" sqref="I18:I21"/>
    </sheetView>
  </sheetViews>
  <sheetFormatPr baseColWidth="10" defaultRowHeight="12.75"/>
  <cols>
    <col min="1" max="1" width="6.42578125" customWidth="1"/>
    <col min="2" max="3" width="10.42578125" bestFit="1" customWidth="1"/>
    <col min="4" max="4" width="12.5703125" bestFit="1" customWidth="1"/>
    <col min="5" max="5" width="12.85546875" customWidth="1"/>
    <col min="6" max="6" width="13.5703125" bestFit="1" customWidth="1"/>
    <col min="7" max="7" width="11.42578125" bestFit="1" customWidth="1"/>
    <col min="8" max="8" width="18.28515625" bestFit="1" customWidth="1"/>
    <col min="9" max="9" width="6.85546875" bestFit="1" customWidth="1"/>
    <col min="10" max="10" width="5.85546875" bestFit="1" customWidth="1"/>
    <col min="11" max="11" width="9.5703125" customWidth="1"/>
    <col min="12" max="12" width="11.28515625" customWidth="1"/>
    <col min="13" max="13" width="14" bestFit="1" customWidth="1"/>
    <col min="14" max="14" width="6.42578125" bestFit="1" customWidth="1"/>
    <col min="15" max="15" width="10.5703125" customWidth="1"/>
    <col min="16" max="16" width="9.5703125" customWidth="1"/>
    <col min="19" max="19" width="13.85546875" bestFit="1" customWidth="1"/>
  </cols>
  <sheetData>
    <row r="1" spans="1:19"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6</v>
      </c>
      <c r="J1" t="s">
        <v>5</v>
      </c>
      <c r="K1" t="s">
        <v>7</v>
      </c>
      <c r="L1" t="s">
        <v>8</v>
      </c>
      <c r="M1" t="s">
        <v>9</v>
      </c>
      <c r="O1" s="49" t="s">
        <v>33</v>
      </c>
      <c r="P1" s="49" t="s">
        <v>34</v>
      </c>
      <c r="Q1" s="70" t="s">
        <v>45</v>
      </c>
      <c r="R1" s="70" t="s">
        <v>47</v>
      </c>
      <c r="S1" s="70" t="s">
        <v>49</v>
      </c>
    </row>
    <row r="2" spans="1:19">
      <c r="A2" s="37"/>
      <c r="B2" s="38">
        <v>1066655</v>
      </c>
      <c r="C2" s="38">
        <v>1187320.5</v>
      </c>
      <c r="D2" s="38">
        <v>67644187</v>
      </c>
      <c r="E2" s="38">
        <v>1706648</v>
      </c>
      <c r="F2" s="38">
        <v>37181074.210000001</v>
      </c>
      <c r="G2" s="38">
        <v>13856030.24</v>
      </c>
      <c r="H2" s="38">
        <v>26891249</v>
      </c>
      <c r="I2" s="38">
        <v>4638</v>
      </c>
      <c r="J2" s="39">
        <v>50.42</v>
      </c>
      <c r="K2" s="38">
        <v>70</v>
      </c>
      <c r="L2" s="39">
        <v>36.46</v>
      </c>
      <c r="M2" s="38">
        <v>1865215.81</v>
      </c>
      <c r="N2" s="40">
        <v>0.2843</v>
      </c>
      <c r="O2" s="3">
        <f>(H2-G2+Hypothèses_Scenario_0!$N$3*G2/C2-Q2*R2)/1000</f>
        <v>16322.769245715172</v>
      </c>
      <c r="P2" s="50">
        <f>Hypothèses_Scenario_0!$K$3-Data_Hornaing!L2</f>
        <v>33.661658381599885</v>
      </c>
      <c r="Q2" s="84">
        <f>Hypothèses_Scenario_0!$N$12*B2</f>
        <v>69332.574999999997</v>
      </c>
      <c r="R2" s="51">
        <f>Hypothèses_Scenario_0!$J$11*J2-L2-S2</f>
        <v>21.137829570010915</v>
      </c>
      <c r="S2" s="87">
        <f>G2/B2</f>
        <v>12.990170429989078</v>
      </c>
    </row>
    <row r="3" spans="1:19">
      <c r="A3" s="37"/>
      <c r="B3" s="38">
        <v>724545</v>
      </c>
      <c r="C3" s="38">
        <v>813399.5</v>
      </c>
      <c r="D3" s="38">
        <v>50883010</v>
      </c>
      <c r="E3" s="38">
        <v>1159272</v>
      </c>
      <c r="F3" s="38">
        <v>28614832.190000001</v>
      </c>
      <c r="G3" s="38">
        <v>9760794</v>
      </c>
      <c r="H3" s="38">
        <v>18672297</v>
      </c>
      <c r="I3" s="38">
        <v>3150</v>
      </c>
      <c r="J3" s="39">
        <v>50.23</v>
      </c>
      <c r="K3" s="38">
        <v>82</v>
      </c>
      <c r="L3" s="39">
        <v>41.09</v>
      </c>
      <c r="M3" s="38">
        <v>2436608.4300000002</v>
      </c>
      <c r="N3" s="40">
        <v>0.2843</v>
      </c>
      <c r="O3" s="3">
        <f>(H3-G3+Hypothèses_Scenario_0!$N$4*G3/C3-Q3*R3)/1000</f>
        <v>12513.702746400002</v>
      </c>
      <c r="P3" s="50">
        <f>Hypothèses_Scenario_0!$K$4-Data_Hornaing!L3</f>
        <v>33.439999999999856</v>
      </c>
      <c r="Q3" s="84">
        <f>Hypothèses_Scenario_0!$N$13*B3</f>
        <v>47095.425000000003</v>
      </c>
      <c r="R3" s="51">
        <f>Hypothèses_Scenario_0!$J$11*J3-L3-S3</f>
        <v>15.760381259963134</v>
      </c>
      <c r="S3" s="87">
        <f t="shared" ref="S3:S6" si="0">G3/B3</f>
        <v>13.471618740036851</v>
      </c>
    </row>
    <row r="4" spans="1:19">
      <c r="A4" s="37"/>
      <c r="B4" s="38">
        <v>843070</v>
      </c>
      <c r="C4" s="38">
        <v>948777</v>
      </c>
      <c r="D4" s="38">
        <v>59223122</v>
      </c>
      <c r="E4" s="38">
        <v>1348912</v>
      </c>
      <c r="F4" s="38">
        <v>35615960.640000001</v>
      </c>
      <c r="G4" s="38">
        <v>11821761.42</v>
      </c>
      <c r="H4" s="38">
        <v>19053549</v>
      </c>
      <c r="I4" s="38">
        <v>3666</v>
      </c>
      <c r="J4" s="39">
        <v>52.22</v>
      </c>
      <c r="K4" s="38">
        <v>107</v>
      </c>
      <c r="L4" s="39">
        <v>43.85</v>
      </c>
      <c r="M4" s="38">
        <v>3204700.53</v>
      </c>
      <c r="N4" s="40">
        <v>0.28389999999999999</v>
      </c>
      <c r="O4" s="3">
        <f>(H4-G4+Hypothèses_Scenario_0!$N$5*G4/C4-Q4*R4)/1000</f>
        <v>10062.0468924</v>
      </c>
      <c r="P4" s="50">
        <f>Hypothèses_Scenario_0!$K$5-Data_Hornaing!L4</f>
        <v>33.650000000000567</v>
      </c>
      <c r="Q4" s="84">
        <f>Hypothèses_Scenario_0!$N$14*B4</f>
        <v>54799.55</v>
      </c>
      <c r="R4" s="51">
        <f>Hypothèses_Scenario_0!$J$11*J4-L4-S4</f>
        <v>15.235722585313189</v>
      </c>
      <c r="S4" s="87">
        <f t="shared" si="0"/>
        <v>14.022277414686799</v>
      </c>
    </row>
    <row r="5" spans="1:19">
      <c r="A5" s="37"/>
      <c r="B5" s="38">
        <v>923885</v>
      </c>
      <c r="C5" s="38">
        <v>1034673.5</v>
      </c>
      <c r="D5" s="38">
        <v>67339491</v>
      </c>
      <c r="E5" s="38">
        <v>1478216</v>
      </c>
      <c r="F5" s="38">
        <v>39897444.560000002</v>
      </c>
      <c r="G5" s="38">
        <v>13564569.58</v>
      </c>
      <c r="H5" s="38">
        <v>23202638</v>
      </c>
      <c r="I5" s="38">
        <v>4017</v>
      </c>
      <c r="J5" s="39">
        <v>55.66</v>
      </c>
      <c r="K5" s="38">
        <v>92</v>
      </c>
      <c r="L5" s="39">
        <v>44.78</v>
      </c>
      <c r="M5" s="38">
        <v>2761193.12</v>
      </c>
      <c r="N5" s="40">
        <v>0.28389999999999999</v>
      </c>
      <c r="O5" s="3">
        <f>(H5-G5+Hypothèses_Scenario_0!$N$6*G5/C5-Q5*R5)/1000</f>
        <v>10902.535777225241</v>
      </c>
      <c r="P5" s="50">
        <f>Hypothèses_Scenario_0!$K$6-Data_Hornaing!L5</f>
        <v>37.220000000000127</v>
      </c>
      <c r="Q5" s="84">
        <f>Hypothèses_Scenario_0!$N$15*B5</f>
        <v>60052.525000000001</v>
      </c>
      <c r="R5" s="51">
        <f>Hypothèses_Scenario_0!$J$11*J5-L5-S5</f>
        <v>18.461902574454605</v>
      </c>
      <c r="S5" s="87">
        <f t="shared" si="0"/>
        <v>14.682097425545388</v>
      </c>
    </row>
    <row r="6" spans="1:19">
      <c r="A6" s="37"/>
      <c r="B6" s="38">
        <v>417850</v>
      </c>
      <c r="C6" s="38">
        <v>467635</v>
      </c>
      <c r="D6" s="38">
        <v>35021183</v>
      </c>
      <c r="E6" s="38">
        <v>668560</v>
      </c>
      <c r="F6" s="38">
        <v>18278945.949999999</v>
      </c>
      <c r="G6" s="38">
        <v>6265570.1399999997</v>
      </c>
      <c r="H6" s="38">
        <v>14875434</v>
      </c>
      <c r="I6" s="38">
        <v>1817</v>
      </c>
      <c r="J6" s="39">
        <v>56.88</v>
      </c>
      <c r="K6" s="38">
        <v>40</v>
      </c>
      <c r="L6" s="39">
        <v>45.35</v>
      </c>
      <c r="M6" s="38">
        <v>1198242.78</v>
      </c>
      <c r="N6" s="40">
        <v>0.28460000000000002</v>
      </c>
      <c r="O6" s="3">
        <f>(H6-G6+Hypothèses_Scenario_0!$N$7*G6/C6-Q6*R6)/1000</f>
        <v>8086.018228599999</v>
      </c>
      <c r="P6" s="50">
        <f>Hypothèses_Scenario_0!$K$7-Data_Hornaing!L6</f>
        <v>38.454000000000129</v>
      </c>
      <c r="Q6" s="84">
        <f>Hypothèses_Scenario_0!$N$16*B6</f>
        <v>27160.25</v>
      </c>
      <c r="R6" s="51">
        <f>Hypothèses_Scenario_0!$J$11*J6-L6-S6</f>
        <v>19.287216848151253</v>
      </c>
      <c r="S6" s="87">
        <f t="shared" si="0"/>
        <v>14.994783151848749</v>
      </c>
    </row>
    <row r="7" spans="1:19">
      <c r="A7" s="37"/>
      <c r="B7" s="38"/>
      <c r="C7" s="38"/>
      <c r="D7" s="38"/>
      <c r="E7" s="38"/>
      <c r="F7" s="38"/>
      <c r="G7" s="38"/>
      <c r="H7" s="38"/>
      <c r="I7" s="38"/>
      <c r="J7" s="39"/>
      <c r="K7" s="38"/>
      <c r="L7" s="39"/>
      <c r="M7" s="38"/>
      <c r="N7" s="40"/>
      <c r="O7" s="3"/>
      <c r="P7" s="50"/>
      <c r="Q7" s="84"/>
      <c r="R7" s="51"/>
      <c r="S7" s="87"/>
    </row>
    <row r="8" spans="1:19">
      <c r="F8" s="51"/>
      <c r="L8" s="51"/>
      <c r="Q8" s="84"/>
    </row>
    <row r="9" spans="1:19">
      <c r="A9" s="53">
        <v>0.1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 t="s">
        <v>21</v>
      </c>
      <c r="H9" t="s">
        <v>22</v>
      </c>
      <c r="I9" t="s">
        <v>6</v>
      </c>
      <c r="J9" t="s">
        <v>5</v>
      </c>
      <c r="K9" t="s">
        <v>7</v>
      </c>
      <c r="L9" t="s">
        <v>8</v>
      </c>
      <c r="M9" t="s">
        <v>9</v>
      </c>
    </row>
    <row r="10" spans="1:19">
      <c r="B10" s="38">
        <v>1305425</v>
      </c>
      <c r="C10" s="38">
        <v>1445367.5</v>
      </c>
      <c r="D10" s="38">
        <v>86118711</v>
      </c>
      <c r="E10" s="38">
        <v>2088680</v>
      </c>
      <c r="F10" s="38">
        <v>45401763.25</v>
      </c>
      <c r="G10" s="38">
        <v>16867438.73</v>
      </c>
      <c r="H10" s="38">
        <v>37378347</v>
      </c>
      <c r="I10" s="38">
        <v>5676</v>
      </c>
      <c r="J10" s="39">
        <v>55.46</v>
      </c>
      <c r="K10" s="38">
        <v>47</v>
      </c>
      <c r="L10" s="39">
        <v>36.380000000000003</v>
      </c>
      <c r="M10" s="38">
        <v>1249920.81</v>
      </c>
      <c r="N10" s="40">
        <v>0.28439999999999999</v>
      </c>
      <c r="O10" s="3">
        <f>(H10-G10+Hypothèses_Scenario_0!$N$3*G10/C10-Q10*R10)/1000</f>
        <v>22859.02370885896</v>
      </c>
      <c r="P10" s="50">
        <f>Hypothèses_Scenario_0!$K3*(1+$A$9)-Data_Hornaing!L10</f>
        <v>40.753824219759885</v>
      </c>
      <c r="Q10" s="84">
        <f>Hypothèses_Scenario_0!$N$12*Data_Hornaing!B10</f>
        <v>84852.625</v>
      </c>
      <c r="R10" s="51">
        <f>Hypothèses_Scenario_0!$J$11*J10-L10-S10</f>
        <v>28.342967592929494</v>
      </c>
      <c r="S10" s="87">
        <f>G10/B10</f>
        <v>12.921032407070495</v>
      </c>
    </row>
    <row r="11" spans="1:19">
      <c r="B11" s="38">
        <v>1118275</v>
      </c>
      <c r="C11" s="38">
        <v>1244302.5</v>
      </c>
      <c r="D11" s="38">
        <v>78380811</v>
      </c>
      <c r="E11" s="38">
        <v>1789240</v>
      </c>
      <c r="F11" s="38">
        <v>44198101.590000004</v>
      </c>
      <c r="G11" s="38">
        <v>14931630</v>
      </c>
      <c r="H11" s="38">
        <v>30274885</v>
      </c>
      <c r="I11" s="38">
        <v>4862</v>
      </c>
      <c r="J11" s="39">
        <v>55.25</v>
      </c>
      <c r="K11" s="38">
        <v>71</v>
      </c>
      <c r="L11" s="39">
        <v>41.12</v>
      </c>
      <c r="M11" s="38">
        <v>2118584.61</v>
      </c>
      <c r="N11" s="40">
        <v>0.28410000000000002</v>
      </c>
      <c r="O11" s="3">
        <f>(H11-G11+Hypothèses_Scenario_0!$N$4*G11/C11-Q11*R11)/1000</f>
        <v>18024.770838750002</v>
      </c>
      <c r="P11" s="50">
        <f>Hypothèses_Scenario_0!$K4*(1+$A$9)-Data_Hornaing!L11</f>
        <v>40.86299999999985</v>
      </c>
      <c r="Q11" s="84">
        <f>Hypothèses_Scenario_0!$N$13*Data_Hornaing!B11</f>
        <v>72687.875</v>
      </c>
      <c r="R11" s="51">
        <f>Hypothèses_Scenario_0!$J$11*J11-L11-S11</f>
        <v>22.877622454226373</v>
      </c>
      <c r="S11" s="87">
        <f t="shared" ref="S11:S14" si="1">G11/B11</f>
        <v>13.352377545773624</v>
      </c>
    </row>
    <row r="12" spans="1:19">
      <c r="B12" s="38">
        <v>1022650</v>
      </c>
      <c r="C12" s="38">
        <v>1137915</v>
      </c>
      <c r="D12" s="38">
        <v>74725481</v>
      </c>
      <c r="E12" s="38">
        <v>1636240</v>
      </c>
      <c r="F12" s="38">
        <v>43223254.75</v>
      </c>
      <c r="G12" s="38">
        <v>14178420.9</v>
      </c>
      <c r="H12" s="38">
        <v>27923566</v>
      </c>
      <c r="I12" s="38">
        <v>4446</v>
      </c>
      <c r="J12" s="39">
        <v>57.44</v>
      </c>
      <c r="K12" s="38">
        <v>65</v>
      </c>
      <c r="L12" s="39">
        <v>43.87</v>
      </c>
      <c r="M12" s="38">
        <v>1942419.95</v>
      </c>
      <c r="N12" s="40">
        <v>0.28370000000000001</v>
      </c>
      <c r="O12" s="3">
        <f>(H12-G12+Hypothèses_Scenario_0!$N$5*G12/C12-Q12*R12)/1000</f>
        <v>15902.617663999999</v>
      </c>
      <c r="P12" s="50">
        <f>Hypothèses_Scenario_0!$K5*(1+$A$9)-Data_Hornaing!L12</f>
        <v>41.380000000000628</v>
      </c>
      <c r="Q12" s="84">
        <f>Hypothèses_Scenario_0!$N$14*Data_Hornaing!B12</f>
        <v>66472.25</v>
      </c>
      <c r="R12" s="51">
        <f>Hypothèses_Scenario_0!$J$11*J12-L12-S12</f>
        <v>22.68160758812888</v>
      </c>
      <c r="S12" s="87">
        <f t="shared" si="1"/>
        <v>13.864392411871119</v>
      </c>
    </row>
    <row r="13" spans="1:19">
      <c r="B13" s="38">
        <v>1075200</v>
      </c>
      <c r="C13" s="38">
        <v>1193120</v>
      </c>
      <c r="D13" s="38">
        <v>82219307</v>
      </c>
      <c r="E13" s="38">
        <v>1720320</v>
      </c>
      <c r="F13" s="38">
        <v>46436569.329999998</v>
      </c>
      <c r="G13" s="38">
        <v>15641803.199999999</v>
      </c>
      <c r="H13" s="38">
        <v>32506636</v>
      </c>
      <c r="I13" s="38">
        <v>4675</v>
      </c>
      <c r="J13" s="39">
        <v>61.22</v>
      </c>
      <c r="K13" s="38">
        <v>52</v>
      </c>
      <c r="L13" s="39">
        <v>44.79</v>
      </c>
      <c r="M13" s="38">
        <v>1555781.52</v>
      </c>
      <c r="N13" s="40">
        <v>0.28389999999999999</v>
      </c>
      <c r="O13" s="3">
        <f>(H13-G13+Hypothèses_Scenario_0!$N$6*G13/C13-Q13*R13)/1000</f>
        <v>17395.024047999999</v>
      </c>
      <c r="P13" s="50">
        <f>Hypothèses_Scenario_0!$K6*(1+$A$9)-Data_Hornaing!L13</f>
        <v>45.410000000000146</v>
      </c>
      <c r="Q13" s="84">
        <f>Hypothèses_Scenario_0!$N$15*Data_Hornaing!B13</f>
        <v>69888</v>
      </c>
      <c r="R13" s="51">
        <f>Hypothèses_Scenario_0!$J$11*J13-L13-S13</f>
        <v>26.370191964285716</v>
      </c>
      <c r="S13" s="87">
        <f t="shared" si="1"/>
        <v>14.547808035714285</v>
      </c>
    </row>
    <row r="14" spans="1:19">
      <c r="B14" s="38">
        <v>566655</v>
      </c>
      <c r="C14" s="38">
        <v>632920.5</v>
      </c>
      <c r="D14" s="38">
        <v>48142161</v>
      </c>
      <c r="E14" s="38">
        <v>906648</v>
      </c>
      <c r="F14" s="38">
        <v>24775716.91</v>
      </c>
      <c r="G14" s="38">
        <v>8480134.6899999995</v>
      </c>
      <c r="H14" s="38">
        <v>21019033</v>
      </c>
      <c r="I14" s="38">
        <v>2464</v>
      </c>
      <c r="J14" s="39">
        <v>62.57</v>
      </c>
      <c r="K14" s="38">
        <v>48</v>
      </c>
      <c r="L14" s="39">
        <v>45.32</v>
      </c>
      <c r="M14" s="38">
        <v>1440763</v>
      </c>
      <c r="N14" s="40">
        <v>0.28470000000000001</v>
      </c>
      <c r="O14" s="3">
        <f>(H14-G14+Hypothèses_Scenario_0!$N$7*G14/C14-Q14*R14)/1000</f>
        <v>11532.899459</v>
      </c>
      <c r="P14" s="50">
        <f>Hypothèses_Scenario_0!$K7*(1+$A$9)-Data_Hornaing!L14</f>
        <v>46.864400000000153</v>
      </c>
      <c r="Q14" s="84">
        <f>Hypothèses_Scenario_0!$N$16*Data_Hornaing!B14</f>
        <v>36832.575000000004</v>
      </c>
      <c r="R14" s="51">
        <f>Hypothèses_Scenario_0!$J$11*J14-L14-S14</f>
        <v>27.312748321288968</v>
      </c>
      <c r="S14" s="87">
        <f t="shared" si="1"/>
        <v>14.965251678711031</v>
      </c>
    </row>
    <row r="15" spans="1:19">
      <c r="B15" s="38"/>
      <c r="C15" s="38"/>
      <c r="D15" s="38"/>
      <c r="E15" s="38"/>
      <c r="F15" s="38"/>
      <c r="G15" s="38"/>
      <c r="H15" s="38"/>
      <c r="I15" s="38"/>
      <c r="J15" s="39"/>
      <c r="K15" s="38"/>
      <c r="L15" s="39"/>
      <c r="M15" s="38"/>
      <c r="N15" s="40"/>
      <c r="O15" s="3"/>
      <c r="P15" s="50"/>
      <c r="Q15" s="84"/>
      <c r="R15" s="51"/>
      <c r="S15" s="87"/>
    </row>
    <row r="16" spans="1:19">
      <c r="B16">
        <v>104406140.25</v>
      </c>
    </row>
    <row r="17" spans="1:19">
      <c r="A17" s="53">
        <v>0.05</v>
      </c>
      <c r="B17" t="s">
        <v>16</v>
      </c>
      <c r="C17" t="s">
        <v>17</v>
      </c>
      <c r="D17" t="s">
        <v>18</v>
      </c>
      <c r="E17" t="s">
        <v>19</v>
      </c>
      <c r="F17" t="s">
        <v>20</v>
      </c>
      <c r="G17" t="s">
        <v>21</v>
      </c>
      <c r="H17" t="s">
        <v>22</v>
      </c>
      <c r="I17" t="s">
        <v>6</v>
      </c>
      <c r="J17" t="s">
        <v>5</v>
      </c>
      <c r="K17" t="s">
        <v>7</v>
      </c>
      <c r="L17" t="s">
        <v>8</v>
      </c>
      <c r="M17" t="s">
        <v>9</v>
      </c>
    </row>
    <row r="18" spans="1:19">
      <c r="B18" s="38">
        <v>1231935</v>
      </c>
      <c r="C18" s="38">
        <v>1365728.5</v>
      </c>
      <c r="D18" s="38">
        <v>78840088</v>
      </c>
      <c r="E18" s="38">
        <v>1971096</v>
      </c>
      <c r="F18" s="38">
        <v>42866686.57</v>
      </c>
      <c r="G18" s="38">
        <v>15938051.59</v>
      </c>
      <c r="H18" s="38">
        <v>32590905</v>
      </c>
      <c r="I18" s="38">
        <v>5356</v>
      </c>
      <c r="J18" s="39">
        <v>52.94</v>
      </c>
      <c r="K18" s="38">
        <v>53</v>
      </c>
      <c r="L18" s="39">
        <v>36.4</v>
      </c>
      <c r="M18" s="38">
        <v>1411399.87</v>
      </c>
      <c r="N18" s="40">
        <v>0.28420000000000001</v>
      </c>
      <c r="O18" s="3">
        <f>(H18-G18+Hypothèses_Scenario_0!$N$3*G18/C18-Q18*R18)/1000</f>
        <v>19421.779469958885</v>
      </c>
      <c r="P18" s="50">
        <f>Hypothèses_Scenario_0!$K$3*(1+A17)-Data_Hornaing!L18</f>
        <v>37.227741300679888</v>
      </c>
      <c r="Q18" s="84">
        <f>Hypothèses_Scenario_0!$N$12*Data_Hornaing!B18</f>
        <v>80075.775000000009</v>
      </c>
      <c r="R18" s="51">
        <f>Hypothèses_Scenario_0!$J$11*J18-L18-S18</f>
        <v>24.778587238774762</v>
      </c>
      <c r="S18" s="87">
        <f>G18/B18</f>
        <v>12.937412761225227</v>
      </c>
    </row>
    <row r="19" spans="1:19">
      <c r="B19" s="38">
        <v>972820</v>
      </c>
      <c r="C19" s="38">
        <v>1089702</v>
      </c>
      <c r="D19" s="38">
        <v>67887163</v>
      </c>
      <c r="E19" s="38">
        <v>1556512</v>
      </c>
      <c r="F19" s="38">
        <v>38433050.32</v>
      </c>
      <c r="G19" s="38">
        <v>13076424</v>
      </c>
      <c r="H19" s="38">
        <v>24975518</v>
      </c>
      <c r="I19" s="38">
        <v>4230</v>
      </c>
      <c r="J19" s="39">
        <v>52.74</v>
      </c>
      <c r="K19" s="38">
        <v>98</v>
      </c>
      <c r="L19" s="39">
        <v>41.11</v>
      </c>
      <c r="M19" s="38">
        <v>2922082.71</v>
      </c>
      <c r="N19" s="40">
        <v>0.28420000000000001</v>
      </c>
      <c r="O19" s="3">
        <f>(H19-G19+Hypothèses_Scenario_0!$N$4*G19/C19-Q19*R19)/1000</f>
        <v>15024.130184200001</v>
      </c>
      <c r="P19" s="50">
        <f>Hypothèses_Scenario_0!$K$4*(1+A17)-Data_Hornaing!L19</f>
        <v>37.146499999999861</v>
      </c>
      <c r="Q19" s="84">
        <f>Hypothèses_Scenario_0!$N$13*Data_Hornaing!B19</f>
        <v>63233.3</v>
      </c>
      <c r="R19" s="51">
        <f>Hypothèses_Scenario_0!$J$11*J19-L19-S19</f>
        <v>19.284228654838508</v>
      </c>
      <c r="S19" s="87">
        <f t="shared" ref="S19:S22" si="2">G19/B19</f>
        <v>13.44177134516149</v>
      </c>
    </row>
    <row r="20" spans="1:19">
      <c r="B20" s="38">
        <v>934580</v>
      </c>
      <c r="C20" s="38">
        <v>1047038</v>
      </c>
      <c r="D20" s="38">
        <v>67207829</v>
      </c>
      <c r="E20" s="38">
        <v>1495328</v>
      </c>
      <c r="F20" s="38">
        <v>39482890.090000004</v>
      </c>
      <c r="G20" s="38">
        <v>13046093.48</v>
      </c>
      <c r="H20" s="38">
        <v>23385578</v>
      </c>
      <c r="I20" s="38">
        <v>4063</v>
      </c>
      <c r="J20" s="39">
        <v>54.83</v>
      </c>
      <c r="K20" s="38">
        <v>95</v>
      </c>
      <c r="L20" s="39">
        <v>43.85</v>
      </c>
      <c r="M20" s="38">
        <v>2844033.45</v>
      </c>
      <c r="N20" s="40">
        <v>0.28389999999999999</v>
      </c>
      <c r="O20" s="3">
        <f>(H20-G20+Hypothèses_Scenario_0!$N$5*G20/C20-Q20*R20)/1000</f>
        <v>12853.3223478</v>
      </c>
      <c r="P20" s="50">
        <f>Hypothèses_Scenario_0!$K$5*(1+A17)-Data_Hornaing!L20</f>
        <v>37.525000000000595</v>
      </c>
      <c r="Q20" s="84">
        <f>Hypothèses_Scenario_0!$N$14*Data_Hornaing!B20</f>
        <v>60747.700000000004</v>
      </c>
      <c r="R20" s="51">
        <f>Hypothèses_Scenario_0!$J$11*J20-L20-S20</f>
        <v>18.952688351986971</v>
      </c>
      <c r="S20" s="87">
        <f t="shared" si="2"/>
        <v>13.959311648013012</v>
      </c>
    </row>
    <row r="21" spans="1:19">
      <c r="B21" s="38">
        <v>999605</v>
      </c>
      <c r="C21" s="38">
        <v>1115965.5</v>
      </c>
      <c r="D21" s="38">
        <v>75002670</v>
      </c>
      <c r="E21" s="38">
        <v>1599368</v>
      </c>
      <c r="F21" s="38">
        <v>43163720.68</v>
      </c>
      <c r="G21" s="38">
        <v>14630307.710000001</v>
      </c>
      <c r="H21" s="38">
        <v>27779690</v>
      </c>
      <c r="I21" s="38">
        <v>4346</v>
      </c>
      <c r="J21" s="39">
        <v>58.44</v>
      </c>
      <c r="K21" s="38">
        <v>82</v>
      </c>
      <c r="L21" s="39">
        <v>44.78</v>
      </c>
      <c r="M21" s="38">
        <v>2459891.94</v>
      </c>
      <c r="N21" s="40">
        <v>0.28389999999999999</v>
      </c>
      <c r="O21" s="3">
        <f>(H21-G21+Hypothèses_Scenario_0!$N$6*G21/C21-Q21*R21)/1000</f>
        <v>14067.11441526104</v>
      </c>
      <c r="P21" s="50">
        <f>Hypothèses_Scenario_0!$K$6*(1+A17)-Data_Hornaing!L21</f>
        <v>41.320000000000135</v>
      </c>
      <c r="Q21" s="84">
        <f>Hypothèses_Scenario_0!$N$15*Data_Hornaing!B21</f>
        <v>64974.325000000004</v>
      </c>
      <c r="R21" s="51">
        <f>Hypothèses_Scenario_0!$J$11*J21-L21-S21</f>
        <v>22.399911034858754</v>
      </c>
      <c r="S21" s="87">
        <f t="shared" si="2"/>
        <v>14.636088965141232</v>
      </c>
    </row>
    <row r="22" spans="1:19">
      <c r="B22" s="38">
        <v>487460</v>
      </c>
      <c r="C22" s="38">
        <v>545006</v>
      </c>
      <c r="D22" s="38">
        <v>41172529</v>
      </c>
      <c r="E22" s="38">
        <v>779936</v>
      </c>
      <c r="F22" s="38">
        <v>21316243.829999998</v>
      </c>
      <c r="G22" s="38">
        <v>7302219.29</v>
      </c>
      <c r="H22" s="38">
        <v>17756437</v>
      </c>
      <c r="I22" s="38">
        <v>2119</v>
      </c>
      <c r="J22" s="39">
        <v>59.72</v>
      </c>
      <c r="K22" s="38">
        <v>44</v>
      </c>
      <c r="L22" s="39">
        <v>45.33</v>
      </c>
      <c r="M22" s="38">
        <v>1319912.1000000001</v>
      </c>
      <c r="N22" s="40">
        <v>0.28470000000000001</v>
      </c>
      <c r="O22" s="3">
        <f>(H22-G22+Hypothèses_Scenario_0!$N$7*G22/C22-Q22*R22)/1000</f>
        <v>9716.0273616500017</v>
      </c>
      <c r="P22" s="50">
        <f>Hypothèses_Scenario_0!$K$7*(1+A17)-Data_Hornaing!L22</f>
        <v>42.664200000000136</v>
      </c>
      <c r="Q22" s="84">
        <f>Hypothèses_Scenario_0!$N$16*Data_Hornaing!B22</f>
        <v>31684.9</v>
      </c>
      <c r="R22" s="51">
        <f>Hypothèses_Scenario_0!$J$11*J22-L22-S22</f>
        <v>23.297859496163781</v>
      </c>
      <c r="S22" s="87">
        <f t="shared" si="2"/>
        <v>14.980140503836212</v>
      </c>
    </row>
    <row r="23" spans="1:19">
      <c r="B23" s="38"/>
      <c r="C23" s="38"/>
      <c r="D23" s="38"/>
      <c r="E23" s="38"/>
      <c r="F23" s="38"/>
      <c r="G23" s="38"/>
      <c r="H23" s="38"/>
      <c r="I23" s="38"/>
      <c r="J23" s="39"/>
      <c r="K23" s="38"/>
      <c r="L23" s="39"/>
      <c r="M23" s="38"/>
      <c r="N23" s="40"/>
      <c r="O23" s="3"/>
      <c r="P23" s="50"/>
      <c r="Q23" s="84"/>
      <c r="R23" s="51"/>
      <c r="S23" s="87"/>
    </row>
    <row r="25" spans="1:19">
      <c r="A25" s="53">
        <v>-0.05</v>
      </c>
      <c r="B25" t="s">
        <v>16</v>
      </c>
      <c r="C25" t="s">
        <v>17</v>
      </c>
      <c r="D25" t="s">
        <v>18</v>
      </c>
      <c r="E25" t="s">
        <v>19</v>
      </c>
      <c r="F25" t="s">
        <v>20</v>
      </c>
      <c r="G25" t="s">
        <v>21</v>
      </c>
      <c r="H25" t="s">
        <v>22</v>
      </c>
      <c r="I25" t="s">
        <v>6</v>
      </c>
      <c r="J25" t="s">
        <v>5</v>
      </c>
      <c r="K25" t="s">
        <v>7</v>
      </c>
      <c r="L25" t="s">
        <v>8</v>
      </c>
      <c r="M25" t="s">
        <v>9</v>
      </c>
    </row>
    <row r="26" spans="1:19">
      <c r="B26" s="38">
        <v>924700</v>
      </c>
      <c r="C26" s="38">
        <v>1028370</v>
      </c>
      <c r="D26" s="38">
        <v>57146092</v>
      </c>
      <c r="E26" s="38">
        <v>1479520</v>
      </c>
      <c r="F26" s="38">
        <v>32267969.789999999</v>
      </c>
      <c r="G26" s="38">
        <v>12001077.9</v>
      </c>
      <c r="H26" s="38">
        <v>21902216</v>
      </c>
      <c r="I26" s="38">
        <v>4020</v>
      </c>
      <c r="J26" s="39">
        <v>47.9</v>
      </c>
      <c r="K26" s="38">
        <v>56</v>
      </c>
      <c r="L26" s="39">
        <v>36.5</v>
      </c>
      <c r="M26" s="38">
        <v>1496386.31</v>
      </c>
      <c r="N26" s="40">
        <v>0.28420000000000001</v>
      </c>
      <c r="O26" s="3">
        <f>(H26-G26+Hypothèses_Scenario_0!$N$3*G26/C26-Q26*R26)/1000</f>
        <v>13597.474721500001</v>
      </c>
      <c r="P26" s="50">
        <f>Hypothèses_Scenario_0!$K$3*(1+A25)-Data_Hornaing!L26</f>
        <v>30.115575462519885</v>
      </c>
      <c r="Q26" s="84">
        <f>Hypothèses_Scenario_0!$N$12*Data_Hornaing!B26</f>
        <v>60105.5</v>
      </c>
      <c r="R26" s="51">
        <f>Hypothèses_Scenario_0!$J$11*J26-L26-S26</f>
        <v>17.581652535957595</v>
      </c>
      <c r="S26" s="87">
        <f>G26/B26</f>
        <v>12.978347464042393</v>
      </c>
    </row>
    <row r="27" spans="1:19">
      <c r="B27" s="38">
        <v>540390</v>
      </c>
      <c r="C27" s="38">
        <v>613629</v>
      </c>
      <c r="D27" s="38">
        <v>39001636</v>
      </c>
      <c r="E27" s="38">
        <v>864624</v>
      </c>
      <c r="F27" s="38">
        <v>21304057.18</v>
      </c>
      <c r="G27" s="38">
        <v>7363548</v>
      </c>
      <c r="H27" s="38">
        <v>13978478</v>
      </c>
      <c r="I27" s="38">
        <v>2350</v>
      </c>
      <c r="J27" s="39">
        <v>47.72</v>
      </c>
      <c r="K27" s="38">
        <v>96</v>
      </c>
      <c r="L27" s="39">
        <v>41.02</v>
      </c>
      <c r="M27" s="38">
        <v>2854476.41</v>
      </c>
      <c r="N27" s="40">
        <v>0.28460000000000002</v>
      </c>
      <c r="O27" s="3">
        <f>(H27-G27+Hypothèses_Scenario_0!$N$4*G27/C27-Q27*R27)/1000</f>
        <v>10532.189694200002</v>
      </c>
      <c r="P27" s="50">
        <f>Hypothèses_Scenario_0!$K$4*(1+A25)-Data_Hornaing!L27</f>
        <v>29.783499999999854</v>
      </c>
      <c r="Q27" s="84">
        <f>Hypothèses_Scenario_0!$N$13*Data_Hornaing!B27</f>
        <v>35125.35</v>
      </c>
      <c r="R27" s="51">
        <f>Hypothèses_Scenario_0!$J$11*J27-L27-S27</f>
        <v>12.161641259090647</v>
      </c>
      <c r="S27" s="87">
        <f t="shared" ref="S27:S31" si="3">G27/B27</f>
        <v>13.626358740909343</v>
      </c>
    </row>
    <row r="28" spans="1:19">
      <c r="B28" s="38">
        <v>656000</v>
      </c>
      <c r="C28" s="38">
        <v>735600</v>
      </c>
      <c r="D28" s="38">
        <v>44622241</v>
      </c>
      <c r="E28" s="38">
        <v>1049600</v>
      </c>
      <c r="F28" s="38">
        <v>27735010.039999999</v>
      </c>
      <c r="G28" s="38">
        <v>9165576</v>
      </c>
      <c r="H28" s="38">
        <v>13744896</v>
      </c>
      <c r="I28" s="38">
        <v>2852</v>
      </c>
      <c r="J28" s="39">
        <v>49.61</v>
      </c>
      <c r="K28" s="38">
        <v>70</v>
      </c>
      <c r="L28" s="39">
        <v>43.88</v>
      </c>
      <c r="M28" s="38">
        <v>2092734.37</v>
      </c>
      <c r="N28" s="40">
        <v>0.28370000000000001</v>
      </c>
      <c r="O28" s="3">
        <f>(H28-G28+Hypothèses_Scenario_0!$N$5*G28/C28-Q28*R28)/1000</f>
        <v>7749.7771340000008</v>
      </c>
      <c r="P28" s="50">
        <f>Hypothèses_Scenario_0!$K$5*(1+A25)-Data_Hornaing!L28</f>
        <v>29.745000000000537</v>
      </c>
      <c r="Q28" s="84">
        <f>Hypothèses_Scenario_0!$N$14*Data_Hornaing!B28</f>
        <v>42640</v>
      </c>
      <c r="R28" s="51">
        <f>Hypothèses_Scenario_0!$J$11*J28-L28-S28</f>
        <v>11.60208536585365</v>
      </c>
      <c r="S28" s="87">
        <f t="shared" si="3"/>
        <v>13.971914634146341</v>
      </c>
    </row>
    <row r="29" spans="1:19">
      <c r="B29" s="38">
        <v>810530</v>
      </c>
      <c r="C29" s="38">
        <v>905583</v>
      </c>
      <c r="D29" s="38">
        <v>56702413</v>
      </c>
      <c r="E29" s="38">
        <v>1296848</v>
      </c>
      <c r="F29" s="38">
        <v>35033716.079999998</v>
      </c>
      <c r="G29" s="38">
        <v>11872193.130000001</v>
      </c>
      <c r="H29" s="38">
        <v>18273678</v>
      </c>
      <c r="I29" s="38">
        <v>3524</v>
      </c>
      <c r="J29" s="39">
        <v>52.87</v>
      </c>
      <c r="K29" s="38">
        <v>70</v>
      </c>
      <c r="L29" s="39">
        <v>44.82</v>
      </c>
      <c r="M29" s="38">
        <v>2098170.7799999998</v>
      </c>
      <c r="N29" s="40">
        <v>0.28360000000000002</v>
      </c>
      <c r="O29" s="3">
        <f>(H29-G29+Hypothèses_Scenario_0!$N$6*G29/C29-Q29*R29)/1000</f>
        <v>8008.0480763500018</v>
      </c>
      <c r="P29" s="50">
        <f>Hypothèses_Scenario_0!$K$6*(1+A25)-Data_Hornaing!L29</f>
        <v>33.080000000000119</v>
      </c>
      <c r="Q29" s="84">
        <f>Hypothèses_Scenario_0!$N$15*Data_Hornaing!B29</f>
        <v>52684.450000000004</v>
      </c>
      <c r="R29" s="51">
        <f>Hypothèses_Scenario_0!$J$11*J29-L29-S29</f>
        <v>14.550555574747372</v>
      </c>
      <c r="S29" s="87">
        <f t="shared" si="3"/>
        <v>14.647444425252614</v>
      </c>
    </row>
    <row r="30" spans="1:19">
      <c r="B30" s="38">
        <v>366870</v>
      </c>
      <c r="C30" s="38">
        <v>409357</v>
      </c>
      <c r="D30" s="38">
        <v>29957887</v>
      </c>
      <c r="E30" s="38">
        <v>586992</v>
      </c>
      <c r="F30" s="38">
        <v>16061680.98</v>
      </c>
      <c r="G30" s="38">
        <v>5484737.0199999996</v>
      </c>
      <c r="H30" s="38">
        <v>12443273</v>
      </c>
      <c r="I30" s="38">
        <v>1595</v>
      </c>
      <c r="J30" s="39">
        <v>54.04</v>
      </c>
      <c r="K30" s="38">
        <v>29</v>
      </c>
      <c r="L30" s="39">
        <v>45.38</v>
      </c>
      <c r="M30" s="38">
        <v>865941.48</v>
      </c>
      <c r="N30" s="40">
        <v>0.28439999999999999</v>
      </c>
      <c r="O30" s="3">
        <f>(H30-G30+Hypothèses_Scenario_0!$N$7*G30/C30-Q30*R30)/1000</f>
        <v>6593.0657385000013</v>
      </c>
      <c r="P30" s="50">
        <f>Hypothèses_Scenario_0!$K$7*(1+A25)-Data_Hornaing!L30</f>
        <v>34.233800000000123</v>
      </c>
      <c r="Q30" s="84">
        <f>Hypothèses_Scenario_0!$N$16*Data_Hornaing!B30</f>
        <v>23846.55</v>
      </c>
      <c r="R30" s="51">
        <f>Hypothèses_Scenario_0!$J$11*J30-L30-S30</f>
        <v>15.325916809769119</v>
      </c>
      <c r="S30" s="87">
        <f t="shared" si="3"/>
        <v>14.95008319023087</v>
      </c>
    </row>
    <row r="31" spans="1:19">
      <c r="B31" s="38"/>
      <c r="C31" s="38"/>
      <c r="D31" s="38"/>
      <c r="E31" s="38"/>
      <c r="F31" s="38"/>
      <c r="G31" s="38"/>
      <c r="H31" s="38"/>
      <c r="I31" s="38"/>
      <c r="J31" s="39"/>
      <c r="K31" s="38"/>
      <c r="L31" s="39"/>
      <c r="M31" s="38"/>
      <c r="N31" s="40"/>
      <c r="O31" s="3" t="e">
        <f>(H31-G31+Hypothèses_Scenario_0!$N$8*G31/C31-Q31*R31)/1000</f>
        <v>#DIV/0!</v>
      </c>
      <c r="P31" s="50">
        <f>Hypothèses_Scenario_0!$K$8*(1+A25)-Data_Hornaing!L31</f>
        <v>81.365303600000118</v>
      </c>
      <c r="Q31" s="84">
        <f>Hypothèses_Scenario_0!$N$17*Data_Hornaing!B31</f>
        <v>0</v>
      </c>
      <c r="R31" s="51" t="e">
        <f>Hypothèses_Scenario_0!$J$11*J31-L31-S31</f>
        <v>#DIV/0!</v>
      </c>
      <c r="S31" s="87" t="e">
        <f t="shared" si="3"/>
        <v>#DIV/0!</v>
      </c>
    </row>
    <row r="34" spans="1:19">
      <c r="A34" s="53">
        <v>-0.1</v>
      </c>
      <c r="B34" t="s">
        <v>16</v>
      </c>
      <c r="C34" t="s">
        <v>17</v>
      </c>
      <c r="D34" t="s">
        <v>18</v>
      </c>
      <c r="E34" t="s">
        <v>19</v>
      </c>
      <c r="F34" t="s">
        <v>20</v>
      </c>
      <c r="G34" t="s">
        <v>21</v>
      </c>
      <c r="H34" t="s">
        <v>22</v>
      </c>
      <c r="I34" t="s">
        <v>6</v>
      </c>
      <c r="J34" t="s">
        <v>5</v>
      </c>
      <c r="K34" t="s">
        <v>7</v>
      </c>
      <c r="L34" t="s">
        <v>8</v>
      </c>
      <c r="M34" t="s">
        <v>9</v>
      </c>
    </row>
    <row r="35" spans="1:19">
      <c r="B35" s="38">
        <v>739240</v>
      </c>
      <c r="C35" s="38">
        <v>819964</v>
      </c>
      <c r="D35" s="38">
        <v>44641152</v>
      </c>
      <c r="E35" s="38">
        <v>1182784</v>
      </c>
      <c r="F35" s="38">
        <v>25829819.5</v>
      </c>
      <c r="G35" s="38">
        <v>9568979.8800000008</v>
      </c>
      <c r="H35" s="38">
        <v>16725837</v>
      </c>
      <c r="I35" s="38">
        <v>3214</v>
      </c>
      <c r="J35" s="39">
        <v>45.37</v>
      </c>
      <c r="K35" s="38">
        <v>34</v>
      </c>
      <c r="L35" s="39">
        <v>36.54</v>
      </c>
      <c r="M35" s="38">
        <v>902712.03</v>
      </c>
      <c r="N35" s="40">
        <v>0.28410000000000002</v>
      </c>
      <c r="O35" s="3">
        <f>(H35-G35+Hypothèses_Scenario_0!$N$3*G35/C35-Q35*R35)/1000</f>
        <v>11235.622363400002</v>
      </c>
      <c r="P35" s="50">
        <f>Hypothèses_Scenario_0!$K$3*(1+A34)-Data_Hornaing!L35</f>
        <v>26.5694925434399</v>
      </c>
      <c r="Q35" s="84">
        <f>Hypothèses_Scenario_0!$N$12*Data_Hornaing!B35</f>
        <v>48050.6</v>
      </c>
      <c r="R35" s="51">
        <f>Hypothèses_Scenario_0!$J$11*J35-L35-S35</f>
        <v>14.033651912775277</v>
      </c>
      <c r="S35" s="87">
        <f>G35/B35</f>
        <v>12.944348087224718</v>
      </c>
    </row>
    <row r="36" spans="1:19">
      <c r="B36" s="38">
        <v>434450</v>
      </c>
      <c r="C36" s="38">
        <v>490895</v>
      </c>
      <c r="D36" s="38">
        <v>30497893</v>
      </c>
      <c r="E36" s="38">
        <v>695120</v>
      </c>
      <c r="F36" s="38">
        <v>17142580.100000001</v>
      </c>
      <c r="G36" s="38">
        <v>5890740</v>
      </c>
      <c r="H36" s="38">
        <v>10731089</v>
      </c>
      <c r="I36" s="38">
        <v>1889</v>
      </c>
      <c r="J36" s="39">
        <v>45.2</v>
      </c>
      <c r="K36" s="38">
        <v>65</v>
      </c>
      <c r="L36" s="39">
        <v>41.06</v>
      </c>
      <c r="M36" s="38">
        <v>1929103.76</v>
      </c>
      <c r="N36" s="40">
        <v>0.28439999999999999</v>
      </c>
      <c r="O36" s="3">
        <f>(H36-G36+Hypothèses_Scenario_0!$N$4*G36/C36-Q36*R36)/1000</f>
        <v>8940.2125650000016</v>
      </c>
      <c r="P36" s="50">
        <f>Hypothèses_Scenario_0!$K$4*(1+A34)-Data_Hornaing!L36</f>
        <v>26.016999999999868</v>
      </c>
      <c r="Q36" s="84">
        <f>Hypothèses_Scenario_0!$N$13*Data_Hornaing!B36</f>
        <v>28239.25</v>
      </c>
      <c r="R36" s="51">
        <f>Hypothèses_Scenario_0!$J$11*J36-L36-S36</f>
        <v>8.6609253078605128</v>
      </c>
      <c r="S36" s="87">
        <f t="shared" ref="S36:S40" si="4">G36/B36</f>
        <v>13.559074692139486</v>
      </c>
    </row>
    <row r="37" spans="1:19">
      <c r="B37" s="38">
        <v>402085</v>
      </c>
      <c r="C37" s="38">
        <v>455293.5</v>
      </c>
      <c r="D37" s="38">
        <v>27803719</v>
      </c>
      <c r="E37" s="38">
        <v>643336</v>
      </c>
      <c r="F37" s="38">
        <v>16955072.52</v>
      </c>
      <c r="G37" s="38">
        <v>5672957.0099999998</v>
      </c>
      <c r="H37" s="38">
        <v>8262764</v>
      </c>
      <c r="I37" s="38">
        <v>1748</v>
      </c>
      <c r="J37" s="39">
        <v>46.99</v>
      </c>
      <c r="K37" s="38">
        <v>65</v>
      </c>
      <c r="L37" s="39">
        <v>43.77</v>
      </c>
      <c r="M37" s="38">
        <v>1942546.8</v>
      </c>
      <c r="N37" s="40">
        <v>0.28399999999999997</v>
      </c>
      <c r="O37" s="3">
        <f>(H37-G37+Hypothèses_Scenario_0!$N$5*G37/C37-Q37*R37)/1000</f>
        <v>6048.3195312500011</v>
      </c>
      <c r="P37" s="50">
        <f>Hypothèses_Scenario_0!$K$5*(1+A34)-Data_Hornaing!L37</f>
        <v>25.980000000000508</v>
      </c>
      <c r="Q37" s="84">
        <f>Hypothèses_Scenario_0!$N$14*Data_Hornaing!B37</f>
        <v>26135.525000000001</v>
      </c>
      <c r="R37" s="51">
        <f>Hypothèses_Scenario_0!$J$11*J37-L37-S37</f>
        <v>7.9071498563736515</v>
      </c>
      <c r="S37" s="87">
        <f t="shared" si="4"/>
        <v>14.108850143626347</v>
      </c>
    </row>
    <row r="38" spans="1:19">
      <c r="B38" s="38">
        <v>578005</v>
      </c>
      <c r="C38" s="38">
        <v>656405.5</v>
      </c>
      <c r="D38" s="38">
        <v>41273724</v>
      </c>
      <c r="E38" s="38">
        <v>924808</v>
      </c>
      <c r="F38" s="38">
        <v>24937315.109999999</v>
      </c>
      <c r="G38" s="38">
        <v>8605476.0999999996</v>
      </c>
      <c r="H38" s="38">
        <v>12319698</v>
      </c>
      <c r="I38" s="38">
        <v>2513</v>
      </c>
      <c r="J38" s="39">
        <v>50.09</v>
      </c>
      <c r="K38" s="38">
        <v>103</v>
      </c>
      <c r="L38" s="39">
        <v>44.74</v>
      </c>
      <c r="M38" s="38">
        <v>3091902.71</v>
      </c>
      <c r="N38" s="40">
        <v>0.28410000000000002</v>
      </c>
      <c r="O38" s="3">
        <f>(H38-G38+Hypothèses_Scenario_0!$N$6*G38/C38-Q38*R38)/1000</f>
        <v>5692.9687986711397</v>
      </c>
      <c r="P38" s="50">
        <f>Hypothèses_Scenario_0!$K$6*(1+A34)-Data_Hornaing!L38</f>
        <v>29.060000000000109</v>
      </c>
      <c r="Q38" s="84">
        <f>Hypothèses_Scenario_0!$N$15*Data_Hornaing!B38</f>
        <v>37570.325000000004</v>
      </c>
      <c r="R38" s="51">
        <f>Hypothèses_Scenario_0!$J$11*J38-L38-S38</f>
        <v>10.49776183597028</v>
      </c>
      <c r="S38" s="87">
        <f t="shared" si="4"/>
        <v>14.888238164029723</v>
      </c>
    </row>
    <row r="39" spans="1:19">
      <c r="B39" s="38">
        <v>321625</v>
      </c>
      <c r="C39" s="38">
        <v>357787.5</v>
      </c>
      <c r="D39" s="38">
        <v>25438115</v>
      </c>
      <c r="E39" s="38">
        <v>514600</v>
      </c>
      <c r="F39" s="38">
        <v>14094968.33</v>
      </c>
      <c r="G39" s="38">
        <v>4793787.2</v>
      </c>
      <c r="H39" s="38">
        <v>10235302</v>
      </c>
      <c r="I39" s="38">
        <v>1398</v>
      </c>
      <c r="J39" s="39">
        <v>51.19</v>
      </c>
      <c r="K39" s="38">
        <v>20</v>
      </c>
      <c r="L39" s="39">
        <v>45.42</v>
      </c>
      <c r="M39" s="38">
        <v>593244.31999999995</v>
      </c>
      <c r="N39" s="40">
        <v>0.28410000000000002</v>
      </c>
      <c r="O39" s="3">
        <f>(H39-G39+Hypothèses_Scenario_0!$N$7*G39/C39-Q39*R39)/1000</f>
        <v>5204.42193425</v>
      </c>
      <c r="P39" s="50">
        <f>Hypothèses_Scenario_0!$K$7*(1+A34)-Data_Hornaing!L39</f>
        <v>30.00360000000012</v>
      </c>
      <c r="Q39" s="84">
        <f>Hypothèses_Scenario_0!$N$16*Data_Hornaing!B39</f>
        <v>20905.625</v>
      </c>
      <c r="R39" s="51">
        <f>Hypothèses_Scenario_0!$J$11*J39-L39-S39</f>
        <v>11.341103925378929</v>
      </c>
      <c r="S39" s="87">
        <f t="shared" si="4"/>
        <v>14.904896074621066</v>
      </c>
    </row>
    <row r="40" spans="1:19">
      <c r="B40" s="38"/>
      <c r="C40" s="38"/>
      <c r="D40" s="38"/>
      <c r="E40" s="38"/>
      <c r="F40" s="38"/>
      <c r="G40" s="38"/>
      <c r="H40" s="38"/>
      <c r="I40" s="38"/>
      <c r="J40" s="39"/>
      <c r="K40" s="38"/>
      <c r="L40" s="39"/>
      <c r="M40" s="38"/>
      <c r="N40" s="40"/>
      <c r="O40" s="3" t="e">
        <f>(H40-G40+Hypothèses_Scenario_0!$N$8*G40/C40-Q40*R40)/1000</f>
        <v>#DIV/0!</v>
      </c>
      <c r="P40" s="50">
        <f>Hypothèses_Scenario_0!$K$8*(1+A34)-Data_Hornaing!L40</f>
        <v>77.08291920000012</v>
      </c>
      <c r="Q40" s="84">
        <f>Hypothèses_Scenario_0!$N$17*Data_Hornaing!B40</f>
        <v>0</v>
      </c>
      <c r="R40" s="51" t="e">
        <f>Hypothèses_Scenario_0!$J$11*J40-L40-S40</f>
        <v>#DIV/0!</v>
      </c>
      <c r="S40" s="87" t="e">
        <f t="shared" si="4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2008</vt:lpstr>
      <vt:lpstr>Hypothèses_Scenario_0</vt:lpstr>
      <vt:lpstr>Lucy</vt:lpstr>
      <vt:lpstr>Provence_4</vt:lpstr>
      <vt:lpstr>Hornaing</vt:lpstr>
      <vt:lpstr>Data_Lucy</vt:lpstr>
      <vt:lpstr>Data_Provence_4</vt:lpstr>
      <vt:lpstr>Data_Hornaing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malcor</dc:creator>
  <cp:lastModifiedBy>malcor</cp:lastModifiedBy>
  <cp:lastPrinted>2009-02-16T17:07:11Z</cp:lastPrinted>
  <dcterms:created xsi:type="dcterms:W3CDTF">2008-10-23T17:54:40Z</dcterms:created>
  <dcterms:modified xsi:type="dcterms:W3CDTF">2009-02-16T20:06:46Z</dcterms:modified>
</cp:coreProperties>
</file>