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6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Acc!$A$1:$Q$209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Mama!$A$1:$H$56</definedName>
    <definedName name="_xlnm.Print_Area" localSheetId="0">Patr.!$A$1:$G$73</definedName>
    <definedName name="_xlnm.Print_Area" localSheetId="14">'Patr. (N-1)'!$A$1:$G$73</definedName>
    <definedName name="_xlnm.Print_Area" localSheetId="15">Rabelais!$A$2:$F$40</definedName>
  </definedNames>
  <calcPr calcId="125725"/>
</workbook>
</file>

<file path=xl/calcChain.xml><?xml version="1.0" encoding="utf-8"?>
<calcChain xmlns="http://schemas.openxmlformats.org/spreadsheetml/2006/main">
  <c r="D5" i="19"/>
  <c r="D22" s="1"/>
  <c r="D21"/>
  <c r="CT5" i="3"/>
  <c r="CU11" l="1"/>
  <c r="CT11"/>
  <c r="CU36"/>
  <c r="CT36"/>
  <c r="CU35"/>
  <c r="CT35"/>
  <c r="CU29"/>
  <c r="CU30" s="1"/>
  <c r="CT29"/>
  <c r="CT30" s="1"/>
  <c r="CT25"/>
  <c r="CT26" s="1"/>
  <c r="CU22"/>
  <c r="CT22"/>
  <c r="CU17"/>
  <c r="CT17"/>
  <c r="CT18" s="1"/>
  <c r="CT19" s="1"/>
  <c r="CU15"/>
  <c r="CT15"/>
  <c r="CU14"/>
  <c r="CT14"/>
  <c r="D16" i="21"/>
  <c r="D15"/>
  <c r="D14"/>
  <c r="D13"/>
  <c r="M32" i="2"/>
  <c r="I32"/>
  <c r="I33"/>
  <c r="J33"/>
  <c r="K33"/>
  <c r="L33" s="1"/>
  <c r="M33"/>
  <c r="H34"/>
  <c r="I34" s="1"/>
  <c r="K34"/>
  <c r="I35"/>
  <c r="J35"/>
  <c r="K35"/>
  <c r="M35" s="1"/>
  <c r="F36"/>
  <c r="H36"/>
  <c r="I36" s="1"/>
  <c r="K36"/>
  <c r="H37"/>
  <c r="I37"/>
  <c r="J37"/>
  <c r="K37"/>
  <c r="L37" s="1"/>
  <c r="H38"/>
  <c r="I38" s="1"/>
  <c r="K38"/>
  <c r="H39"/>
  <c r="I39"/>
  <c r="J39"/>
  <c r="K39"/>
  <c r="L39" s="1"/>
  <c r="H40"/>
  <c r="I40" s="1"/>
  <c r="K40"/>
  <c r="K11"/>
  <c r="I11"/>
  <c r="J11" s="1"/>
  <c r="H11"/>
  <c r="AF65"/>
  <c r="AF64"/>
  <c r="AF63"/>
  <c r="AF62"/>
  <c r="AK62" s="1"/>
  <c r="AF61"/>
  <c r="AF60"/>
  <c r="AF59"/>
  <c r="AF58"/>
  <c r="AF57"/>
  <c r="AF56"/>
  <c r="AF55"/>
  <c r="AF54"/>
  <c r="AF53"/>
  <c r="AM42"/>
  <c r="AL42"/>
  <c r="AK42"/>
  <c r="AN42" s="1"/>
  <c r="AI42"/>
  <c r="AH42"/>
  <c r="AG42"/>
  <c r="AJ42" s="1"/>
  <c r="AF42"/>
  <c r="AM41"/>
  <c r="AL41"/>
  <c r="AK41"/>
  <c r="AN41" s="1"/>
  <c r="AI41"/>
  <c r="AH41"/>
  <c r="AG41"/>
  <c r="AJ41" s="1"/>
  <c r="AF41"/>
  <c r="AN40"/>
  <c r="AM40"/>
  <c r="AL40"/>
  <c r="AK40"/>
  <c r="AJ40"/>
  <c r="AI40"/>
  <c r="AH40"/>
  <c r="AG40"/>
  <c r="AF40"/>
  <c r="AM39"/>
  <c r="AL39"/>
  <c r="AI39"/>
  <c r="AH39"/>
  <c r="AG39"/>
  <c r="AF39"/>
  <c r="AM38"/>
  <c r="AL38"/>
  <c r="AK38"/>
  <c r="AI38"/>
  <c r="AH38"/>
  <c r="AG38"/>
  <c r="AJ38" s="1"/>
  <c r="AF38"/>
  <c r="AM37"/>
  <c r="AK37"/>
  <c r="AI37"/>
  <c r="AH37"/>
  <c r="AG37"/>
  <c r="AF37"/>
  <c r="AM36"/>
  <c r="AK36"/>
  <c r="AI36"/>
  <c r="AH36"/>
  <c r="AG36"/>
  <c r="AJ36" s="1"/>
  <c r="AF36"/>
  <c r="AM35"/>
  <c r="AK35"/>
  <c r="AI35"/>
  <c r="AH35"/>
  <c r="AG35"/>
  <c r="AF35"/>
  <c r="AM34"/>
  <c r="AL34"/>
  <c r="AI34"/>
  <c r="AH34"/>
  <c r="AG34"/>
  <c r="AF34"/>
  <c r="AM33"/>
  <c r="AL33"/>
  <c r="AI33"/>
  <c r="AH33"/>
  <c r="AG33"/>
  <c r="AF33"/>
  <c r="AM32"/>
  <c r="AI32"/>
  <c r="AH32"/>
  <c r="AG32"/>
  <c r="AF32"/>
  <c r="AM31"/>
  <c r="AL31"/>
  <c r="AI31"/>
  <c r="AH31"/>
  <c r="AG31"/>
  <c r="AJ31" s="1"/>
  <c r="AF31"/>
  <c r="AM30"/>
  <c r="AL30"/>
  <c r="AI30"/>
  <c r="AH30"/>
  <c r="AG30"/>
  <c r="AJ30" s="1"/>
  <c r="AF30"/>
  <c r="AM29"/>
  <c r="AL29"/>
  <c r="AI29"/>
  <c r="AH29"/>
  <c r="AG29"/>
  <c r="AJ29" s="1"/>
  <c r="AF29"/>
  <c r="AM28"/>
  <c r="AL28"/>
  <c r="AJ28"/>
  <c r="AI28"/>
  <c r="AH28"/>
  <c r="AG28"/>
  <c r="AF28"/>
  <c r="AM27"/>
  <c r="AL27"/>
  <c r="AI27"/>
  <c r="AH27"/>
  <c r="AG27"/>
  <c r="AJ27" s="1"/>
  <c r="AF27"/>
  <c r="AL26"/>
  <c r="AK26"/>
  <c r="AI26"/>
  <c r="AH26"/>
  <c r="AG26"/>
  <c r="AJ26" s="1"/>
  <c r="AF26"/>
  <c r="AM25"/>
  <c r="AL25"/>
  <c r="AI25"/>
  <c r="AH25"/>
  <c r="AG25"/>
  <c r="AJ25" s="1"/>
  <c r="AF25"/>
  <c r="AM24"/>
  <c r="AL24"/>
  <c r="AJ24"/>
  <c r="AI24"/>
  <c r="AH24"/>
  <c r="AG24"/>
  <c r="AF24"/>
  <c r="AM23"/>
  <c r="AL23"/>
  <c r="AI23"/>
  <c r="AH23"/>
  <c r="AG23"/>
  <c r="AJ23" s="1"/>
  <c r="AF23"/>
  <c r="AM22"/>
  <c r="AL22"/>
  <c r="AI22"/>
  <c r="AH22"/>
  <c r="AG22"/>
  <c r="AJ22" s="1"/>
  <c r="AF22"/>
  <c r="AM21"/>
  <c r="AL21"/>
  <c r="AI21"/>
  <c r="AH21"/>
  <c r="AG21"/>
  <c r="AJ21" s="1"/>
  <c r="AF21"/>
  <c r="AM20"/>
  <c r="AL20"/>
  <c r="AJ20"/>
  <c r="AI20"/>
  <c r="AH20"/>
  <c r="AG20"/>
  <c r="AF20"/>
  <c r="AM19"/>
  <c r="AL19"/>
  <c r="AI19"/>
  <c r="AH19"/>
  <c r="AG19"/>
  <c r="AJ19" s="1"/>
  <c r="AF19"/>
  <c r="AM18"/>
  <c r="AL18"/>
  <c r="AI18"/>
  <c r="AH18"/>
  <c r="AG18"/>
  <c r="AJ18" s="1"/>
  <c r="AF18"/>
  <c r="AL17"/>
  <c r="AK17"/>
  <c r="AI17"/>
  <c r="AH17"/>
  <c r="AG17"/>
  <c r="AJ17" s="1"/>
  <c r="AF17"/>
  <c r="AL16"/>
  <c r="AK16"/>
  <c r="AJ16"/>
  <c r="AI16"/>
  <c r="AH16"/>
  <c r="AG16"/>
  <c r="AF16"/>
  <c r="AM15"/>
  <c r="AL15"/>
  <c r="AI15"/>
  <c r="AH15"/>
  <c r="AG15"/>
  <c r="AJ15" s="1"/>
  <c r="AF15"/>
  <c r="AM14"/>
  <c r="AL14"/>
  <c r="AI14"/>
  <c r="AH14"/>
  <c r="AG14"/>
  <c r="AJ14" s="1"/>
  <c r="AF14"/>
  <c r="AM13"/>
  <c r="AL13"/>
  <c r="AI13"/>
  <c r="AH13"/>
  <c r="AG13"/>
  <c r="AJ13" s="1"/>
  <c r="AF13"/>
  <c r="AM12"/>
  <c r="AL12"/>
  <c r="AJ12"/>
  <c r="AI12"/>
  <c r="AH12"/>
  <c r="AG12"/>
  <c r="AF12"/>
  <c r="AM11"/>
  <c r="AL11"/>
  <c r="AI11"/>
  <c r="AH11"/>
  <c r="AG11"/>
  <c r="AF11"/>
  <c r="AM10"/>
  <c r="AK10"/>
  <c r="AI10"/>
  <c r="AH10"/>
  <c r="AG10"/>
  <c r="AJ10" s="1"/>
  <c r="AF10"/>
  <c r="AM9"/>
  <c r="AL9"/>
  <c r="AI9"/>
  <c r="AH9"/>
  <c r="AG9"/>
  <c r="AJ9" s="1"/>
  <c r="AF9"/>
  <c r="AM8"/>
  <c r="AL8"/>
  <c r="AJ8"/>
  <c r="AI8"/>
  <c r="AH8"/>
  <c r="AG8"/>
  <c r="AF8"/>
  <c r="AL36"/>
  <c r="AL35"/>
  <c r="AK34"/>
  <c r="K32"/>
  <c r="AK32" s="1"/>
  <c r="H9" i="19"/>
  <c r="B2" i="1"/>
  <c r="I282" i="2"/>
  <c r="H282" s="1"/>
  <c r="I281"/>
  <c r="H281" s="1"/>
  <c r="I280"/>
  <c r="H280" s="1"/>
  <c r="I265"/>
  <c r="H265" s="1"/>
  <c r="I266"/>
  <c r="H266" s="1"/>
  <c r="I267"/>
  <c r="H267" s="1"/>
  <c r="I268"/>
  <c r="H268" s="1"/>
  <c r="I269"/>
  <c r="H269" s="1"/>
  <c r="I270"/>
  <c r="H270" s="1"/>
  <c r="I271"/>
  <c r="H271" s="1"/>
  <c r="I272"/>
  <c r="H272" s="1"/>
  <c r="I273"/>
  <c r="H273" s="1"/>
  <c r="I274"/>
  <c r="H274" s="1"/>
  <c r="I275"/>
  <c r="H275" s="1"/>
  <c r="I276"/>
  <c r="H276" s="1"/>
  <c r="I277"/>
  <c r="H277" s="1"/>
  <c r="I264"/>
  <c r="H264" s="1"/>
  <c r="H257"/>
  <c r="H261"/>
  <c r="I261"/>
  <c r="I260"/>
  <c r="H260" s="1"/>
  <c r="I259"/>
  <c r="H259" s="1"/>
  <c r="I258"/>
  <c r="H258" s="1"/>
  <c r="I257"/>
  <c r="I256"/>
  <c r="H256" s="1"/>
  <c r="I255"/>
  <c r="H255" s="1"/>
  <c r="I254"/>
  <c r="H254" s="1"/>
  <c r="I253"/>
  <c r="H253" s="1"/>
  <c r="I252"/>
  <c r="H252" s="1"/>
  <c r="H245"/>
  <c r="I245"/>
  <c r="I246"/>
  <c r="H246" s="1"/>
  <c r="I247"/>
  <c r="H247" s="1"/>
  <c r="I248"/>
  <c r="H248" s="1"/>
  <c r="I249"/>
  <c r="H249" s="1"/>
  <c r="I244"/>
  <c r="H244" s="1"/>
  <c r="H31"/>
  <c r="I31" s="1"/>
  <c r="J31" s="1"/>
  <c r="K31"/>
  <c r="AK31" s="1"/>
  <c r="H30"/>
  <c r="I30" s="1"/>
  <c r="J30" s="1"/>
  <c r="K30"/>
  <c r="AK30" s="1"/>
  <c r="AN30" s="1"/>
  <c r="F15"/>
  <c r="L191"/>
  <c r="M191"/>
  <c r="H191"/>
  <c r="G191"/>
  <c r="H29"/>
  <c r="I29" s="1"/>
  <c r="J29" s="1"/>
  <c r="K29"/>
  <c r="AK29" s="1"/>
  <c r="E35" i="8"/>
  <c r="C35"/>
  <c r="F133" i="12"/>
  <c r="E34" i="1"/>
  <c r="C1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CU25" i="3" l="1"/>
  <c r="CU26" s="1"/>
  <c r="CU33" s="1"/>
  <c r="CU18"/>
  <c r="CU19" s="1"/>
  <c r="CU31"/>
  <c r="CT33"/>
  <c r="CT31"/>
  <c r="AJ32" i="2"/>
  <c r="J32"/>
  <c r="AL32"/>
  <c r="AN32" s="1"/>
  <c r="J40"/>
  <c r="M40"/>
  <c r="L40"/>
  <c r="J38"/>
  <c r="M38"/>
  <c r="L38"/>
  <c r="J34"/>
  <c r="M34"/>
  <c r="L34"/>
  <c r="J36"/>
  <c r="M36"/>
  <c r="L36"/>
  <c r="AJ34"/>
  <c r="AJ39"/>
  <c r="AL57"/>
  <c r="L35"/>
  <c r="AK33"/>
  <c r="AN33" s="1"/>
  <c r="AL37"/>
  <c r="AN37" s="1"/>
  <c r="AJ33"/>
  <c r="AJ35"/>
  <c r="M39"/>
  <c r="M37"/>
  <c r="AL53"/>
  <c r="AK39"/>
  <c r="AJ37"/>
  <c r="AJ11"/>
  <c r="M11"/>
  <c r="L11"/>
  <c r="AM64"/>
  <c r="AN31"/>
  <c r="AL65"/>
  <c r="AN36"/>
  <c r="AN29"/>
  <c r="AN39"/>
  <c r="AL61"/>
  <c r="AN38"/>
  <c r="AM56"/>
  <c r="AN35"/>
  <c r="AM60"/>
  <c r="AN34"/>
  <c r="AK54"/>
  <c r="AG53"/>
  <c r="AI55"/>
  <c r="AM55"/>
  <c r="AH56"/>
  <c r="AG57"/>
  <c r="AK57"/>
  <c r="AI59"/>
  <c r="AM59"/>
  <c r="AH60"/>
  <c r="AL60"/>
  <c r="AG61"/>
  <c r="AI63"/>
  <c r="AM63"/>
  <c r="AH64"/>
  <c r="AL64"/>
  <c r="AG65"/>
  <c r="AI54"/>
  <c r="AM54"/>
  <c r="AH55"/>
  <c r="AL55"/>
  <c r="AG56"/>
  <c r="AI58"/>
  <c r="AH59"/>
  <c r="AL59"/>
  <c r="AG60"/>
  <c r="AI62"/>
  <c r="AM62"/>
  <c r="AH63"/>
  <c r="AL63"/>
  <c r="AG64"/>
  <c r="AI53"/>
  <c r="AM53"/>
  <c r="AH54"/>
  <c r="AL54"/>
  <c r="AG55"/>
  <c r="AI57"/>
  <c r="AH58"/>
  <c r="AL58"/>
  <c r="AG59"/>
  <c r="AK59"/>
  <c r="AI61"/>
  <c r="AM61"/>
  <c r="AH62"/>
  <c r="AL62"/>
  <c r="AG63"/>
  <c r="AI65"/>
  <c r="AM65"/>
  <c r="AH53"/>
  <c r="AG54"/>
  <c r="AI56"/>
  <c r="AH57"/>
  <c r="AG58"/>
  <c r="AI60"/>
  <c r="AJ60" s="1"/>
  <c r="AH61"/>
  <c r="AG62"/>
  <c r="AI64"/>
  <c r="AH65"/>
  <c r="L32"/>
  <c r="I191"/>
  <c r="J191" s="1"/>
  <c r="L31"/>
  <c r="M31"/>
  <c r="L30"/>
  <c r="M30"/>
  <c r="N191"/>
  <c r="O191" s="1"/>
  <c r="L29"/>
  <c r="M29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J61" i="2" l="1"/>
  <c r="AJ59"/>
  <c r="AJ56"/>
  <c r="AJ58"/>
  <c r="AJ53"/>
  <c r="AJ57"/>
  <c r="AJ62"/>
  <c r="AJ54"/>
  <c r="AN59"/>
  <c r="AJ65"/>
  <c r="AJ64"/>
  <c r="AN62"/>
  <c r="AN54"/>
  <c r="AJ63"/>
  <c r="AJ55"/>
  <c r="P191"/>
  <c r="CS36" i="3"/>
  <c r="CS35"/>
  <c r="CS29"/>
  <c r="CS30" s="1"/>
  <c r="CS25"/>
  <c r="CS22"/>
  <c r="CS17"/>
  <c r="CS15"/>
  <c r="CS14"/>
  <c r="CS18" s="1"/>
  <c r="CS19" s="1"/>
  <c r="CS11"/>
  <c r="E37" i="11"/>
  <c r="D37"/>
  <c r="D38"/>
  <c r="H108" i="8"/>
  <c r="I108" s="1"/>
  <c r="I22"/>
  <c r="J22" s="1"/>
  <c r="Q191" i="2" l="1"/>
  <c r="R191"/>
  <c r="E38" i="11"/>
  <c r="E39" s="1"/>
  <c r="E43" s="1"/>
  <c r="CS26" i="3"/>
  <c r="CS33" s="1"/>
  <c r="CS31"/>
  <c r="H26" i="2" l="1"/>
  <c r="M18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AK28" s="1"/>
  <c r="M190"/>
  <c r="N190" s="1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K27"/>
  <c r="AK27" s="1"/>
  <c r="AN27" s="1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36" i="11"/>
  <c r="CP36" i="3"/>
  <c r="CP35"/>
  <c r="CP29"/>
  <c r="CP30" s="1"/>
  <c r="CP31" s="1"/>
  <c r="CP25"/>
  <c r="CP23"/>
  <c r="CP22"/>
  <c r="CP15"/>
  <c r="CP14"/>
  <c r="CP11"/>
  <c r="F54" i="2"/>
  <c r="F55"/>
  <c r="F56"/>
  <c r="F57"/>
  <c r="F58"/>
  <c r="F59"/>
  <c r="F60"/>
  <c r="F61"/>
  <c r="F62"/>
  <c r="F63"/>
  <c r="F64"/>
  <c r="F65"/>
  <c r="E35" i="11"/>
  <c r="K26" i="2"/>
  <c r="AM26" s="1"/>
  <c r="AN26" s="1"/>
  <c r="I26"/>
  <c r="N34" i="1"/>
  <c r="N33"/>
  <c r="N32"/>
  <c r="N31"/>
  <c r="N30"/>
  <c r="N29"/>
  <c r="N28"/>
  <c r="N26"/>
  <c r="AN28" i="2" l="1"/>
  <c r="AK56"/>
  <c r="I188"/>
  <c r="J188" s="1"/>
  <c r="CR33" i="3"/>
  <c r="M28" i="2"/>
  <c r="L28"/>
  <c r="O190"/>
  <c r="P190"/>
  <c r="H11" i="22"/>
  <c r="C12"/>
  <c r="C13" s="1"/>
  <c r="P188" i="2"/>
  <c r="Q188" s="1"/>
  <c r="O188"/>
  <c r="P189"/>
  <c r="Q189" s="1"/>
  <c r="L27"/>
  <c r="CQ18" i="3"/>
  <c r="CQ19" s="1"/>
  <c r="CQ33"/>
  <c r="CP26"/>
  <c r="J26" i="2"/>
  <c r="L26"/>
  <c r="M26"/>
  <c r="Q190" l="1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7" i="3"/>
  <c r="CP18" s="1"/>
  <c r="H107" i="8"/>
  <c r="I107" s="1"/>
  <c r="H21" i="19"/>
  <c r="C29" i="1" s="1"/>
  <c r="L29" s="1"/>
  <c r="H25" i="2"/>
  <c r="I25" s="1"/>
  <c r="K25"/>
  <c r="AK25" s="1"/>
  <c r="AN25" s="1"/>
  <c r="O85" i="15"/>
  <c r="O84"/>
  <c r="O83"/>
  <c r="E105"/>
  <c r="H105" s="1"/>
  <c r="H24" i="2"/>
  <c r="I24" s="1"/>
  <c r="J24" s="1"/>
  <c r="K24"/>
  <c r="AK24" s="1"/>
  <c r="AN24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6" i="3"/>
  <c r="CN29"/>
  <c r="CN30"/>
  <c r="CN31"/>
  <c r="CN25"/>
  <c r="CN26"/>
  <c r="CN23"/>
  <c r="CN22"/>
  <c r="CN17"/>
  <c r="CN15"/>
  <c r="CN14"/>
  <c r="CN11"/>
  <c r="E34" i="11"/>
  <c r="H106" i="8"/>
  <c r="I106" s="1"/>
  <c r="C31" i="1"/>
  <c r="L31" s="1"/>
  <c r="C30"/>
  <c r="L30" s="1"/>
  <c r="H23" i="19"/>
  <c r="H22"/>
  <c r="H24"/>
  <c r="D23"/>
  <c r="D24"/>
  <c r="D25"/>
  <c r="D26"/>
  <c r="D27"/>
  <c r="H25" s="1"/>
  <c r="C33" i="1" s="1"/>
  <c r="L33" s="1"/>
  <c r="D28" i="19"/>
  <c r="M187" i="2"/>
  <c r="N187" s="1"/>
  <c r="H187"/>
  <c r="I187" s="1"/>
  <c r="J187" s="1"/>
  <c r="H23"/>
  <c r="I23" s="1"/>
  <c r="J23" s="1"/>
  <c r="H22"/>
  <c r="G22"/>
  <c r="G21"/>
  <c r="K23"/>
  <c r="K22"/>
  <c r="AK22" s="1"/>
  <c r="AN22" s="1"/>
  <c r="K21"/>
  <c r="AK21" s="1"/>
  <c r="AN21" s="1"/>
  <c r="H21"/>
  <c r="K20"/>
  <c r="AK20" s="1"/>
  <c r="AN20" s="1"/>
  <c r="H20"/>
  <c r="I20" s="1"/>
  <c r="J20" s="1"/>
  <c r="CM36" i="3"/>
  <c r="CM29"/>
  <c r="CM14"/>
  <c r="CM22"/>
  <c r="CM23"/>
  <c r="CM15"/>
  <c r="CM11"/>
  <c r="H105" i="8"/>
  <c r="I105" s="1"/>
  <c r="CL36" i="3"/>
  <c r="F21" i="4"/>
  <c r="F31"/>
  <c r="CL29" i="3"/>
  <c r="CL14"/>
  <c r="CL22"/>
  <c r="CL23"/>
  <c r="CL15"/>
  <c r="CL11"/>
  <c r="H19" i="2"/>
  <c r="I19" s="1"/>
  <c r="J19" s="1"/>
  <c r="K19"/>
  <c r="AK19" s="1"/>
  <c r="AN19" s="1"/>
  <c r="K8"/>
  <c r="AK8" s="1"/>
  <c r="K9"/>
  <c r="AK9" s="1"/>
  <c r="AK11"/>
  <c r="K12"/>
  <c r="AK12" s="1"/>
  <c r="K13"/>
  <c r="AK13" s="1"/>
  <c r="K14"/>
  <c r="AK14" s="1"/>
  <c r="K15"/>
  <c r="AK15" s="1"/>
  <c r="K18"/>
  <c r="AK18" s="1"/>
  <c r="K10"/>
  <c r="K16"/>
  <c r="AM16" s="1"/>
  <c r="K17"/>
  <c r="AM17" s="1"/>
  <c r="G97" i="8"/>
  <c r="F9" i="11" s="1"/>
  <c r="F16" s="1"/>
  <c r="E45" s="1"/>
  <c r="G98" i="8"/>
  <c r="C12" i="1" s="1"/>
  <c r="L12" s="1"/>
  <c r="N143" i="2"/>
  <c r="O143" s="1"/>
  <c r="I119"/>
  <c r="J119" s="1"/>
  <c r="H93"/>
  <c r="I93" s="1"/>
  <c r="J93" s="1"/>
  <c r="N84"/>
  <c r="I84"/>
  <c r="J84" s="1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J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J83" s="1"/>
  <c r="N76"/>
  <c r="I76"/>
  <c r="J76" s="1"/>
  <c r="N77"/>
  <c r="O77" s="1"/>
  <c r="I77"/>
  <c r="J77" s="1"/>
  <c r="N78"/>
  <c r="I78"/>
  <c r="J78" s="1"/>
  <c r="N74"/>
  <c r="O74" s="1"/>
  <c r="I74"/>
  <c r="J74" s="1"/>
  <c r="N75"/>
  <c r="I75"/>
  <c r="J75" s="1"/>
  <c r="N73"/>
  <c r="I73"/>
  <c r="J73" s="1"/>
  <c r="CK36" i="3"/>
  <c r="CK29"/>
  <c r="CK14"/>
  <c r="CK22"/>
  <c r="CK23"/>
  <c r="CK15"/>
  <c r="CK11"/>
  <c r="I8" i="2"/>
  <c r="I55" s="1"/>
  <c r="N55" s="1"/>
  <c r="I9"/>
  <c r="I53" s="1"/>
  <c r="M53" s="1"/>
  <c r="S53" s="1"/>
  <c r="H10"/>
  <c r="I10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 s="1"/>
  <c r="M181" i="2"/>
  <c r="N181" s="1"/>
  <c r="O181" s="1"/>
  <c r="H181"/>
  <c r="I181" s="1"/>
  <c r="M182"/>
  <c r="N182" s="1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L8" i="1"/>
  <c r="L9"/>
  <c r="I134" i="8"/>
  <c r="I135"/>
  <c r="E24" i="1"/>
  <c r="G96" i="8"/>
  <c r="L11" i="1" s="1"/>
  <c r="H4" i="8"/>
  <c r="H12" s="1"/>
  <c r="G118"/>
  <c r="C16" i="1"/>
  <c r="L16" s="1"/>
  <c r="G136" i="8"/>
  <c r="C17" i="1"/>
  <c r="L17" s="1"/>
  <c r="C18"/>
  <c r="L18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3" i="8"/>
  <c r="I103" s="1"/>
  <c r="F133"/>
  <c r="I136"/>
  <c r="H136"/>
  <c r="M176" i="2"/>
  <c r="N176" s="1"/>
  <c r="O176" s="1"/>
  <c r="G176"/>
  <c r="H17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I118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J9" i="2"/>
  <c r="K62"/>
  <c r="I62"/>
  <c r="N62" s="1"/>
  <c r="I54"/>
  <c r="I59"/>
  <c r="N59" s="1"/>
  <c r="K54"/>
  <c r="K55"/>
  <c r="K60"/>
  <c r="K53"/>
  <c r="K64"/>
  <c r="K58"/>
  <c r="K57"/>
  <c r="K63"/>
  <c r="M93"/>
  <c r="N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M104" s="1"/>
  <c r="N104" s="1"/>
  <c r="H104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O108" s="1"/>
  <c r="H109"/>
  <c r="I109" s="1"/>
  <c r="J109" s="1"/>
  <c r="M109"/>
  <c r="N109" s="1"/>
  <c r="H110"/>
  <c r="I110" s="1"/>
  <c r="J110" s="1"/>
  <c r="M110"/>
  <c r="N110" s="1"/>
  <c r="O110" s="1"/>
  <c r="F111"/>
  <c r="H111"/>
  <c r="M11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 s="1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 s="1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H144"/>
  <c r="I144" s="1"/>
  <c r="J144" s="1"/>
  <c r="N144"/>
  <c r="O144" s="1"/>
  <c r="F145"/>
  <c r="N145" s="1"/>
  <c r="O145" s="1"/>
  <c r="H145"/>
  <c r="F146"/>
  <c r="I146" s="1"/>
  <c r="J146" s="1"/>
  <c r="M146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H158"/>
  <c r="F159"/>
  <c r="M159" s="1"/>
  <c r="N159" s="1"/>
  <c r="O159" s="1"/>
  <c r="H159"/>
  <c r="M160"/>
  <c r="N160" s="1"/>
  <c r="H160"/>
  <c r="I160" s="1"/>
  <c r="J160" s="1"/>
  <c r="M161"/>
  <c r="N161" s="1"/>
  <c r="H161"/>
  <c r="I161" s="1"/>
  <c r="J161" s="1"/>
  <c r="M162"/>
  <c r="N162" s="1"/>
  <c r="O162" s="1"/>
  <c r="H162"/>
  <c r="I162" s="1"/>
  <c r="J162" s="1"/>
  <c r="F163"/>
  <c r="M163" s="1"/>
  <c r="N163" s="1"/>
  <c r="O163" s="1"/>
  <c r="H163"/>
  <c r="F164"/>
  <c r="M164" s="1"/>
  <c r="N164" s="1"/>
  <c r="H164"/>
  <c r="M165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H174"/>
  <c r="M175"/>
  <c r="N175" s="1"/>
  <c r="I175"/>
  <c r="J175" s="1"/>
  <c r="I203"/>
  <c r="J203" s="1"/>
  <c r="K203"/>
  <c r="I207"/>
  <c r="J207" s="1"/>
  <c r="H216"/>
  <c r="I216" s="1"/>
  <c r="I218" s="1"/>
  <c r="L233"/>
  <c r="C20" i="1"/>
  <c r="B7" i="12"/>
  <c r="B9"/>
  <c r="B11"/>
  <c r="B15"/>
  <c r="B17"/>
  <c r="M78"/>
  <c r="H93" i="15"/>
  <c r="E11" i="1"/>
  <c r="N11" s="1"/>
  <c r="D100" i="15"/>
  <c r="H97" i="8"/>
  <c r="F31" i="3"/>
  <c r="O93" i="2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AM57" i="2" l="1"/>
  <c r="AM43"/>
  <c r="AN16"/>
  <c r="AN14"/>
  <c r="AK60"/>
  <c r="AN60" s="1"/>
  <c r="AN9"/>
  <c r="AK53"/>
  <c r="AN17"/>
  <c r="AM58"/>
  <c r="AN15"/>
  <c r="AN11"/>
  <c r="AK63"/>
  <c r="AN63" s="1"/>
  <c r="AN18"/>
  <c r="AK61"/>
  <c r="AN61" s="1"/>
  <c r="AN12"/>
  <c r="AK58"/>
  <c r="M23"/>
  <c r="AK23"/>
  <c r="AN23" s="1"/>
  <c r="K46"/>
  <c r="AL10"/>
  <c r="AN13"/>
  <c r="AK64"/>
  <c r="AN64" s="1"/>
  <c r="AN8"/>
  <c r="AK55"/>
  <c r="AN55" s="1"/>
  <c r="I159"/>
  <c r="J159" s="1"/>
  <c r="N146"/>
  <c r="P146" s="1"/>
  <c r="Q146" s="1"/>
  <c r="N111"/>
  <c r="O111" s="1"/>
  <c r="I174"/>
  <c r="J174" s="1"/>
  <c r="I158"/>
  <c r="J158" s="1"/>
  <c r="L203"/>
  <c r="I164"/>
  <c r="J164" s="1"/>
  <c r="I155"/>
  <c r="J155" s="1"/>
  <c r="I111"/>
  <c r="J111" s="1"/>
  <c r="I79"/>
  <c r="J79" s="1"/>
  <c r="P175"/>
  <c r="Q175" s="1"/>
  <c r="N168"/>
  <c r="O168" s="1"/>
  <c r="N165"/>
  <c r="O165" s="1"/>
  <c r="P185"/>
  <c r="Q185" s="1"/>
  <c r="P154"/>
  <c r="Q154" s="1"/>
  <c r="P149"/>
  <c r="Q149" s="1"/>
  <c r="I176"/>
  <c r="J176" s="1"/>
  <c r="P76"/>
  <c r="Q76" s="1"/>
  <c r="F12" i="8"/>
  <c r="D40" i="21"/>
  <c r="D35"/>
  <c r="D50"/>
  <c r="D52" s="1"/>
  <c r="D61" s="1"/>
  <c r="D22"/>
  <c r="G99" i="8"/>
  <c r="A21" i="3"/>
  <c r="P157" i="2"/>
  <c r="Q157" s="1"/>
  <c r="O157"/>
  <c r="I163"/>
  <c r="J163" s="1"/>
  <c r="O149"/>
  <c r="P120"/>
  <c r="Q120" s="1"/>
  <c r="N174"/>
  <c r="P174" s="1"/>
  <c r="Q174" s="1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P126" s="1"/>
  <c r="Q126" s="1"/>
  <c r="I106"/>
  <c r="J106" s="1"/>
  <c r="N98"/>
  <c r="O98" s="1"/>
  <c r="O76"/>
  <c r="N179"/>
  <c r="P179" s="1"/>
  <c r="Q179" s="1"/>
  <c r="P77"/>
  <c r="Q77" s="1"/>
  <c r="P148"/>
  <c r="Q148" s="1"/>
  <c r="N138"/>
  <c r="I137"/>
  <c r="J137" s="1"/>
  <c r="N117"/>
  <c r="P78"/>
  <c r="Q78" s="1"/>
  <c r="N83"/>
  <c r="O83" s="1"/>
  <c r="I21"/>
  <c r="J21" s="1"/>
  <c r="O137"/>
  <c r="O114"/>
  <c r="P114"/>
  <c r="Q114" s="1"/>
  <c r="O99"/>
  <c r="P99"/>
  <c r="Q99" s="1"/>
  <c r="J16"/>
  <c r="I57"/>
  <c r="N57" s="1"/>
  <c r="O158"/>
  <c r="P158"/>
  <c r="Q158" s="1"/>
  <c r="O155"/>
  <c r="P155"/>
  <c r="Q155" s="1"/>
  <c r="P116"/>
  <c r="Q116" s="1"/>
  <c r="O116"/>
  <c r="O187"/>
  <c r="P187"/>
  <c r="R187" s="1"/>
  <c r="O164"/>
  <c r="O183"/>
  <c r="P183"/>
  <c r="Q183" s="1"/>
  <c r="O87"/>
  <c r="P87"/>
  <c r="Q87" s="1"/>
  <c r="P108"/>
  <c r="Q108" s="1"/>
  <c r="P186"/>
  <c r="Q186" s="1"/>
  <c r="O185"/>
  <c r="O125"/>
  <c r="P152"/>
  <c r="Q152" s="1"/>
  <c r="P156"/>
  <c r="Q156" s="1"/>
  <c r="N129"/>
  <c r="O129" s="1"/>
  <c r="H103"/>
  <c r="I103" s="1"/>
  <c r="J103" s="1"/>
  <c r="P113"/>
  <c r="Q113" s="1"/>
  <c r="I82"/>
  <c r="J82" s="1"/>
  <c r="M16"/>
  <c r="L9"/>
  <c r="I22"/>
  <c r="J22" s="1"/>
  <c r="P162"/>
  <c r="Q162" s="1"/>
  <c r="I145"/>
  <c r="J145" s="1"/>
  <c r="P88"/>
  <c r="Q88" s="1"/>
  <c r="P136"/>
  <c r="Q136" s="1"/>
  <c r="I165"/>
  <c r="J165" s="1"/>
  <c r="P163"/>
  <c r="Q163" s="1"/>
  <c r="I138"/>
  <c r="J138" s="1"/>
  <c r="I115"/>
  <c r="J115" s="1"/>
  <c r="I104"/>
  <c r="J104" s="1"/>
  <c r="O78"/>
  <c r="N178"/>
  <c r="O178" s="1"/>
  <c r="N177"/>
  <c r="O177" s="1"/>
  <c r="N82"/>
  <c r="O82" s="1"/>
  <c r="AA60"/>
  <c r="CP19" i="3"/>
  <c r="CP33"/>
  <c r="Z54" i="2"/>
  <c r="AA54"/>
  <c r="M54"/>
  <c r="S5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60" i="2"/>
  <c r="D17" i="21"/>
  <c r="D24" s="1"/>
  <c r="D28" s="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64"/>
  <c r="Z57"/>
  <c r="I46"/>
  <c r="M55"/>
  <c r="S55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61" i="2"/>
  <c r="Z56"/>
  <c r="Z65"/>
  <c r="L24"/>
  <c r="L55"/>
  <c r="O55" s="1"/>
  <c r="J54"/>
  <c r="J55"/>
  <c r="J53"/>
  <c r="N53"/>
  <c r="J62"/>
  <c r="M24"/>
  <c r="P153"/>
  <c r="Q153" s="1"/>
  <c r="O153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O102"/>
  <c r="P102"/>
  <c r="Q102" s="1"/>
  <c r="O103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J58" s="1"/>
  <c r="N142"/>
  <c r="P101"/>
  <c r="Q101" s="1"/>
  <c r="P97"/>
  <c r="Q97" s="1"/>
  <c r="I45"/>
  <c r="P80"/>
  <c r="Q80" s="1"/>
  <c r="P107"/>
  <c r="Q107" s="1"/>
  <c r="P167"/>
  <c r="Q167" s="1"/>
  <c r="O148"/>
  <c r="P144"/>
  <c r="Q144" s="1"/>
  <c r="O186"/>
  <c r="N115"/>
  <c r="P100"/>
  <c r="Q100" s="1"/>
  <c r="L16"/>
  <c r="I65"/>
  <c r="J65" s="1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L59" s="1"/>
  <c r="O59" s="1"/>
  <c r="P184"/>
  <c r="Q184" s="1"/>
  <c r="O184"/>
  <c r="P182"/>
  <c r="Q182" s="1"/>
  <c r="O182"/>
  <c r="J18"/>
  <c r="I61"/>
  <c r="J61" s="1"/>
  <c r="J14"/>
  <c r="I63"/>
  <c r="L63" s="1"/>
  <c r="O63" s="1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07"/>
  <c r="P85"/>
  <c r="Q85" s="1"/>
  <c r="P94"/>
  <c r="Q94" s="1"/>
  <c r="P96"/>
  <c r="Q96" s="1"/>
  <c r="O113"/>
  <c r="L14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L64" s="1"/>
  <c r="O64" s="1"/>
  <c r="L15"/>
  <c r="L62"/>
  <c r="O62" s="1"/>
  <c r="N54"/>
  <c r="M62"/>
  <c r="S62" s="1"/>
  <c r="I172"/>
  <c r="J172" s="1"/>
  <c r="P145"/>
  <c r="Q145" s="1"/>
  <c r="L54"/>
  <c r="O54" s="1"/>
  <c r="P74"/>
  <c r="L13"/>
  <c r="L53"/>
  <c r="O53" s="1"/>
  <c r="L17"/>
  <c r="M18"/>
  <c r="L12"/>
  <c r="M19"/>
  <c r="M20"/>
  <c r="L10"/>
  <c r="L23"/>
  <c r="M12"/>
  <c r="AA56"/>
  <c r="L20"/>
  <c r="M15"/>
  <c r="L18"/>
  <c r="L19"/>
  <c r="K44"/>
  <c r="M14"/>
  <c r="K43"/>
  <c r="M17"/>
  <c r="M10"/>
  <c r="K45"/>
  <c r="M13"/>
  <c r="L8"/>
  <c r="AC55"/>
  <c r="AC59"/>
  <c r="AC57"/>
  <c r="AC61"/>
  <c r="AC63"/>
  <c r="AC65"/>
  <c r="L46" l="1"/>
  <c r="AK43"/>
  <c r="AM66"/>
  <c r="AN57"/>
  <c r="AN53"/>
  <c r="AN58"/>
  <c r="AK65"/>
  <c r="AN65" s="1"/>
  <c r="AL43"/>
  <c r="AN10"/>
  <c r="AL56"/>
  <c r="AN43"/>
  <c r="P176"/>
  <c r="Q176" s="1"/>
  <c r="O146"/>
  <c r="P111"/>
  <c r="Q111" s="1"/>
  <c r="P138"/>
  <c r="Q138" s="1"/>
  <c r="P159"/>
  <c r="Q159" s="1"/>
  <c r="O134"/>
  <c r="L21"/>
  <c r="P164"/>
  <c r="J213"/>
  <c r="M21"/>
  <c r="O179"/>
  <c r="P104"/>
  <c r="Q104" s="1"/>
  <c r="O126"/>
  <c r="P137"/>
  <c r="Q137" s="1"/>
  <c r="M59"/>
  <c r="S59" s="1"/>
  <c r="P129"/>
  <c r="Q129" s="1"/>
  <c r="O138"/>
  <c r="P168"/>
  <c r="Q168" s="1"/>
  <c r="Q187"/>
  <c r="P83"/>
  <c r="Q83" s="1"/>
  <c r="P106"/>
  <c r="Q106" s="1"/>
  <c r="D41" i="21"/>
  <c r="D45" s="1"/>
  <c r="P165" i="2"/>
  <c r="Q165" s="1"/>
  <c r="M57"/>
  <c r="S57" s="1"/>
  <c r="J57"/>
  <c r="L57"/>
  <c r="O57" s="1"/>
  <c r="O117"/>
  <c r="P117"/>
  <c r="Q117" s="1"/>
  <c r="P79"/>
  <c r="Q79" s="1"/>
  <c r="P178"/>
  <c r="Q178" s="1"/>
  <c r="O174"/>
  <c r="P98"/>
  <c r="Q98" s="1"/>
  <c r="P131"/>
  <c r="Q131" s="1"/>
  <c r="P103"/>
  <c r="Q103" s="1"/>
  <c r="N89"/>
  <c r="M90"/>
  <c r="N90" s="1"/>
  <c r="R76"/>
  <c r="P177"/>
  <c r="Q177" s="1"/>
  <c r="P82"/>
  <c r="Q82" s="1"/>
  <c r="L22"/>
  <c r="M22"/>
  <c r="I60"/>
  <c r="L60" s="1"/>
  <c r="O60" s="1"/>
  <c r="I44"/>
  <c r="M44" s="1"/>
  <c r="R156"/>
  <c r="D24" i="20"/>
  <c r="D28" s="1"/>
  <c r="D41"/>
  <c r="E10" i="1"/>
  <c r="N10" s="1"/>
  <c r="L10"/>
  <c r="A8" i="3"/>
  <c r="L32" i="1"/>
  <c r="L24" s="1"/>
  <c r="C24"/>
  <c r="M46" i="2"/>
  <c r="I43"/>
  <c r="A13" i="3" s="1"/>
  <c r="I56" i="2"/>
  <c r="J56" s="1"/>
  <c r="F83" i="15"/>
  <c r="H83" s="1"/>
  <c r="H86" s="1"/>
  <c r="C15" i="1" s="1"/>
  <c r="L15" s="1"/>
  <c r="E64" i="15"/>
  <c r="H64" s="1"/>
  <c r="H67" s="1"/>
  <c r="H119"/>
  <c r="C50" i="1" s="1"/>
  <c r="L65" i="2"/>
  <c r="O65" s="1"/>
  <c r="M65"/>
  <c r="S65" s="1"/>
  <c r="M61"/>
  <c r="S61" s="1"/>
  <c r="L58"/>
  <c r="O58" s="1"/>
  <c r="K66"/>
  <c r="H56" s="1"/>
  <c r="R176"/>
  <c r="Q93"/>
  <c r="R171"/>
  <c r="Q170"/>
  <c r="Q74"/>
  <c r="R74"/>
  <c r="N64"/>
  <c r="J64"/>
  <c r="I210"/>
  <c r="P207"/>
  <c r="Q207" s="1"/>
  <c r="N65"/>
  <c r="Q119"/>
  <c r="Q143"/>
  <c r="R143"/>
  <c r="P172"/>
  <c r="N63"/>
  <c r="J63"/>
  <c r="Q84"/>
  <c r="N61"/>
  <c r="O115"/>
  <c r="P115"/>
  <c r="Q115" s="1"/>
  <c r="N58"/>
  <c r="R186"/>
  <c r="R181" s="1"/>
  <c r="Q181"/>
  <c r="R73"/>
  <c r="Q73"/>
  <c r="O142"/>
  <c r="P142"/>
  <c r="Q142" s="1"/>
  <c r="Q91"/>
  <c r="Q211"/>
  <c r="M58"/>
  <c r="S58" s="1"/>
  <c r="I196"/>
  <c r="M64"/>
  <c r="S64" s="1"/>
  <c r="M63"/>
  <c r="S63" s="1"/>
  <c r="L61"/>
  <c r="O61" s="1"/>
  <c r="C6" i="1"/>
  <c r="L6" s="1"/>
  <c r="C7"/>
  <c r="L7" s="1"/>
  <c r="M45" i="2"/>
  <c r="L45"/>
  <c r="AN56" l="1"/>
  <c r="AN66" s="1"/>
  <c r="AL66"/>
  <c r="AK66"/>
  <c r="R162"/>
  <c r="R177"/>
  <c r="Q164"/>
  <c r="R164"/>
  <c r="R103"/>
  <c r="R79"/>
  <c r="D60" i="21"/>
  <c r="D62" s="1"/>
  <c r="E9" i="1" s="1"/>
  <c r="N9" s="1"/>
  <c r="R169" i="2"/>
  <c r="R154"/>
  <c r="L44"/>
  <c r="O89"/>
  <c r="P89"/>
  <c r="N196"/>
  <c r="P196" s="1"/>
  <c r="Q196" s="1"/>
  <c r="R108"/>
  <c r="R93"/>
  <c r="O90"/>
  <c r="P90"/>
  <c r="N60"/>
  <c r="M60"/>
  <c r="S60" s="1"/>
  <c r="J60"/>
  <c r="D60" i="20"/>
  <c r="D62" s="1"/>
  <c r="E8" i="1" s="1"/>
  <c r="N8" s="1"/>
  <c r="M43" i="2"/>
  <c r="L43"/>
  <c r="H62"/>
  <c r="H64"/>
  <c r="N56"/>
  <c r="M56"/>
  <c r="S56" s="1"/>
  <c r="I66"/>
  <c r="G60" s="1"/>
  <c r="L56"/>
  <c r="O56" s="1"/>
  <c r="O66" s="1"/>
  <c r="H54"/>
  <c r="H65"/>
  <c r="H61"/>
  <c r="H55"/>
  <c r="H57"/>
  <c r="H63"/>
  <c r="H60"/>
  <c r="H59"/>
  <c r="H66"/>
  <c r="H58"/>
  <c r="H53"/>
  <c r="R175"/>
  <c r="Q172"/>
  <c r="R119"/>
  <c r="L5" i="1"/>
  <c r="L36" s="1"/>
  <c r="C5"/>
  <c r="H10"/>
  <c r="A7" i="3" s="1"/>
  <c r="N5" i="1" l="1"/>
  <c r="N36" s="1"/>
  <c r="N37" s="1"/>
  <c r="N38" s="1"/>
  <c r="E5"/>
  <c r="E36" s="1"/>
  <c r="F54" s="1"/>
  <c r="Q89" i="2"/>
  <c r="R84"/>
  <c r="Q210"/>
  <c r="N210" s="1"/>
  <c r="P210" s="1"/>
  <c r="Q90"/>
  <c r="N66"/>
  <c r="G64"/>
  <c r="G59"/>
  <c r="L66"/>
  <c r="G57"/>
  <c r="G56"/>
  <c r="G61"/>
  <c r="G65"/>
  <c r="G58"/>
  <c r="G62"/>
  <c r="G66"/>
  <c r="G63"/>
  <c r="G54"/>
  <c r="G55"/>
  <c r="G53"/>
  <c r="C36" i="1"/>
  <c r="E37" l="1"/>
  <c r="E38" s="1"/>
  <c r="I211" i="2"/>
  <c r="N211" s="1"/>
  <c r="P211" s="1"/>
  <c r="M66"/>
  <c r="S66" s="1"/>
  <c r="Q67"/>
  <c r="H12" i="1" l="1"/>
  <c r="A9" i="3" s="1"/>
  <c r="A10" s="1"/>
  <c r="H213" i="2"/>
  <c r="L213" s="1"/>
  <c r="L217" s="1"/>
  <c r="H13" i="1" l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4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<sst xmlns="http://schemas.openxmlformats.org/spreadsheetml/2006/main" count="2144" uniqueCount="796">
  <si>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</si>
  <si>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</si>
  <si>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</si>
  <si>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</si>
  <si>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</si>
  <si>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</si>
  <si>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</si>
  <si>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</si>
  <si>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</si>
  <si>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</si>
  <si>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</si>
  <si>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</si>
  <si>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</si>
  <si>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</si>
  <si>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</si>
  <si>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</si>
  <si>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</si>
  <si>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</si>
  <si>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</si>
  <si>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</si>
  <si>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</si>
  <si>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</si>
  <si>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</si>
  <si>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</si>
  <si>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</si>
  <si>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</si>
  <si>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</si>
  <si>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</si>
  <si>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</si>
  <si>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</si>
  <si>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</si>
  <si>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</si>
  <si>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</si>
  <si>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</si>
  <si>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</si>
  <si>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</si>
  <si>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</si>
  <si>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</si>
  <si>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</si>
  <si>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</si>
  <si>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</si>
  <si>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</si>
  <si>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</si>
  <si>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</si>
  <si>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</si>
  <si>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</si>
  <si>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</si>
  <si>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</si>
  <si>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</si>
  <si>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</si>
  <si>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</si>
  <si>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</si>
  <si>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</si>
  <si>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</si>
  <si>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</si>
  <si>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</si>
  <si>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</si>
  <si>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</si>
  <si>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</si>
  <si>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</si>
  <si>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</si>
  <si>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</si>
  <si>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</si>
  <si>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</si>
  <si>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</si>
  <si>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</si>
  <si>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</si>
  <si>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</si>
  <si>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</si>
  <si>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</si>
  <si>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</si>
  <si>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</si>
  <si>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</si>
  <si>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</si>
  <si>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</si>
  <si>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</si>
  <si>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</si>
  <si>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</si>
  <si>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</si>
  <si>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</si>
  <si>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</si>
  <si>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</si>
  <si>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</si>
  <si>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</si>
  <si>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</si>
  <si>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</si>
  <si>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</si>
  <si>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</si>
  <si>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</si>
  <si>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</si>
  <si>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</si>
  <si>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</si>
  <si>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</si>
  <si>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</si>
  <si>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</si>
  <si>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</si>
  <si>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</si>
  <si>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</si>
  <si>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</si>
  <si>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</si>
  <si>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</si>
  <si>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</si>
  <si>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</si>
  <si>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</si>
  <si>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</si>
  <si>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</si>
  <si>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</si>
  <si>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</si>
  <si>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</si>
  <si>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</si>
  <si>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</si>
  <si>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</si>
  <si>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</si>
  <si>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</si>
  <si>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</si>
  <si>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</si>
  <si>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</si>
  <si>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</si>
  <si>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</si>
  <si>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</si>
  <si>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</si>
  <si>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</si>
  <si>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</si>
  <si>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</si>
  <si>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</si>
  <si>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</si>
  <si>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</si>
  <si>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</si>
  <si>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</si>
  <si>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</si>
  <si>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</si>
  <si>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</si>
  <si>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</si>
  <si>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</si>
  <si>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</si>
  <si>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</si>
  <si>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</si>
  <si>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</si>
  <si>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</si>
  <si>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</si>
  <si>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</si>
  <si>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</si>
  <si>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</si>
  <si>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</si>
  <si>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</si>
  <si>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</si>
  <si>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</si>
  <si>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</si>
  <si>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</si>
  <si>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</si>
  <si>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</si>
  <si>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</si>
  <si>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</si>
  <si>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</si>
  <si>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</si>
  <si>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</si>
  <si>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</si>
  <si>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</si>
  <si>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</si>
  <si>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</si>
  <si>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</si>
  <si>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</si>
  <si>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</si>
  <si>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</si>
  <si>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</si>
  <si>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</si>
  <si>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</si>
  <si>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</si>
  <si>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</si>
  <si>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</si>
  <si>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</si>
  <si>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</si>
  <si>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</si>
  <si>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</si>
  <si>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</si>
  <si>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</si>
  <si>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</si>
  <si>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</si>
  <si>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</si>
  <si>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</si>
  <si>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</si>
  <si>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</si>
  <si>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</si>
  <si>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</si>
  <si>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</si>
  <si>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</si>
  <si>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</si>
  <si>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</si>
  <si>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</si>
  <si>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</si>
  <si>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</si>
  <si>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</si>
  <si>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</si>
  <si>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</si>
  <si>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</si>
  <si>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</si>
  <si>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</si>
  <si>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</si>
  <si>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</si>
  <si>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</si>
  <si>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</si>
  <si>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</si>
  <si>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</si>
  <si>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</si>
  <si>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</si>
  <si>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</si>
  <si>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</si>
  <si>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</si>
  <si>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</si>
  <si>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</si>
  <si>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</si>
  <si>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</si>
  <si>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</si>
  <si>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</si>
  <si>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</si>
  <si>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</si>
  <si>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</si>
  <si>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</si>
  <si>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</si>
  <si>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</si>
  <si>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</si>
  <si>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</si>
  <si>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</si>
  <si>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</si>
  <si>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</si>
  <si>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</si>
  <si>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</si>
  <si>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</si>
  <si>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</si>
  <si>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</si>
  <si>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</si>
  <si>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</si>
  <si>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</si>
  <si>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</si>
  <si>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</si>
  <si>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</si>
  <si>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</si>
  <si>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</si>
  <si>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</si>
  <si>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</si>
  <si>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</si>
  <si>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</si>
  <si>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</si>
  <si>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</si>
  <si>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</si>
  <si>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</si>
  <si>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</si>
  <si>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</si>
  <si>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</si>
  <si>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</si>
  <si>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</si>
  <si>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</si>
  <si>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</si>
  <si>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</si>
  <si>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</si>
  <si>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</si>
  <si>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</si>
  <si>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</si>
  <si>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</si>
  <si>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</si>
  <si>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</si>
  <si>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</si>
  <si>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</si>
  <si>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</si>
  <si>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</si>
  <si>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</si>
  <si>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</si>
  <si>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</si>
  <si>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</si>
  <si>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</si>
  <si>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</si>
  <si>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</si>
  <si>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</si>
  <si>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</si>
  <si>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</si>
  <si>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</si>
  <si>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</si>
  <si>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</si>
  <si>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</si>
  <si>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</si>
  <si>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</si>
  <si>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</si>
  <si>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</si>
  <si>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</si>
  <si>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</si>
  <si>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</si>
  <si>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</si>
  <si>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</si>
  <si>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</si>
  <si>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</si>
  <si>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</si>
  <si>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</si>
  <si>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</si>
  <si>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</si>
  <si>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</si>
  <si>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</si>
  <si>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</si>
  <si>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</si>
  <si>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</si>
  <si>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</si>
  <si>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</si>
  <si>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</si>
  <si>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</si>
  <si>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</si>
  <si>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</si>
  <si>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</si>
  <si>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</si>
  <si>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</si>
  <si>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</si>
  <si>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</si>
  <si>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</si>
  <si>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</si>
  <si>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</si>
  <si>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</si>
  <si>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</si>
  <si>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</si>
  <si>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</si>
  <si>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</si>
  <si>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</si>
  <si>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</si>
  <si>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</si>
  <si>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</si>
  <si>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</si>
  <si>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</si>
  <si>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</si>
  <si>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</si>
  <si>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</si>
  <si>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</si>
  <si>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</si>
  <si>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</si>
  <si>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</si>
  <si>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</si>
  <si>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</si>
  <si>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</si>
  <si>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</si>
  <si>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</si>
  <si>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</si>
  <si>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</si>
  <si>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</si>
  <si>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</si>
  <si>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</si>
  <si>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</si>
  <si>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</si>
  <si>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</si>
  <si>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</si>
  <si>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</si>
  <si>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</si>
  <si>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</si>
  <si>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</si>
  <si>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</si>
  <si>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</si>
  <si>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</si>
  <si>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</si>
  <si>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</si>
  <si>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</si>
  <si>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</si>
  <si>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</si>
  <si>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</si>
  <si>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</si>
  <si>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</si>
  <si>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</si>
  <si>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</si>
  <si>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</si>
  <si>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</si>
  <si>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</si>
  <si>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</si>
  <si>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</si>
  <si>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</si>
  <si>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</si>
  <si>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</si>
  <si>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</si>
  <si>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</si>
  <si>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</si>
  <si>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</si>
  <si>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</si>
  <si>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</si>
  <si>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</si>
  <si>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</si>
  <si>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</si>
  <si>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</si>
  <si>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</si>
  <si>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</si>
  <si>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</si>
  <si>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</si>
  <si>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</si>
  <si>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</si>
  <si>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</si>
  <si>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</si>
  <si>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</si>
  <si>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</si>
  <si>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</si>
  <si>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</si>
  <si>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</si>
  <si>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</si>
  <si>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</si>
  <si>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</si>
  <si>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</si>
  <si>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</si>
  <si>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</si>
  <si>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</si>
  <si>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</si>
  <si>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</si>
  <si>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</si>
  <si>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</si>
  <si>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</si>
  <si>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</si>
  <si>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</si>
  <si>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</si>
  <si>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</si>
  <si>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</si>
  <si>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</si>
  <si>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</si>
  <si>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</si>
  <si>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</si>
  <si>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</si>
  <si>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</si>
  <si>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</si>
  <si>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</si>
  <si>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</si>
  <si>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</si>
  <si>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</si>
  <si>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</si>
  <si>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</si>
  <si>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</si>
  <si>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</si>
  <si>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</si>
  <si>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</si>
  <si>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</si>
  <si>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</si>
  <si>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</si>
  <si>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</si>
  <si>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</si>
  <si>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</si>
  <si>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</si>
  <si>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</si>
  <si>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</si>
  <si>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</si>
  <si>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</si>
  <si>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</si>
  <si>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</si>
  <si>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</si>
  <si>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</si>
  <si>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</si>
  <si>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</si>
  <si>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</si>
  <si>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</si>
  <si>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</si>
  <si>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</si>
  <si>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</si>
  <si>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</si>
  <si>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</si>
  <si>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</si>
  <si>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</si>
  <si>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</si>
  <si>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</si>
  <si>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</si>
  <si>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</si>
  <si>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</si>
  <si>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</si>
  <si>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</si>
  <si>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</si>
  <si>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</si>
  <si>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</si>
  <si>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</si>
  <si>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</si>
  <si>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</si>
  <si>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</si>
  <si>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</si>
  <si>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</si>
  <si>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</si>
  <si>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</si>
  <si>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</si>
  <si>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</si>
  <si>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</si>
  <si>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</si>
  <si>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</si>
  <si>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</si>
  <si>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</si>
  <si>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</si>
  <si>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</si>
  <si>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</si>
  <si>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</si>
  <si>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</si>
  <si>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</si>
  <si>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</si>
  <si>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</si>
  <si>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</si>
  <si>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</si>
  <si>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</si>
  <si>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</si>
  <si>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</si>
  <si>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</si>
  <si>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</si>
  <si>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</si>
  <si>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</si>
  <si>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</si>
  <si>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</si>
  <si>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</si>
  <si>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</si>
  <si>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</si>
  <si>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</si>
  <si>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</si>
  <si>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</si>
  <si>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</si>
  <si>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</si>
  <si>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</si>
  <si>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</si>
  <si>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</si>
  <si>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</si>
  <si>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</si>
  <si>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</si>
  <si>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</si>
  <si>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</si>
  <si>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</si>
  <si>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</si>
  <si>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</si>
  <si>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</si>
  <si>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</si>
  <si>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</si>
  <si>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</si>
  <si>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</si>
  <si>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</si>
  <si>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</si>
  <si>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</si>
  <si>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</si>
  <si>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</si>
  <si>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</si>
  <si>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</si>
  <si>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</si>
  <si>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</si>
  <si>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</si>
  <si>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</si>
  <si>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</si>
  <si>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</si>
  <si>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</si>
  <si>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</si>
  <si>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</si>
  <si>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</si>
  <si>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</si>
  <si>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</si>
  <si>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</si>
  <si>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</si>
  <si>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</si>
  <si>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</si>
  <si>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</si>
  <si>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</si>
  <si>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</si>
  <si>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</si>
  <si>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</si>
  <si>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</si>
  <si>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</si>
  <si>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</si>
  <si>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</si>
  <si>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</si>
  <si>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</si>
  <si>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</si>
  <si>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</si>
  <si>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</si>
  <si>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</si>
  <si>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</si>
  <si>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</si>
  <si>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</si>
  <si>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</si>
  <si>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</si>
  <si>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</si>
  <si>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</si>
  <si>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</si>
  <si>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</si>
  <si>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</si>
  <si>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</si>
  <si>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</si>
  <si>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</si>
  <si>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</si>
  <si>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</si>
  <si>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</si>
  <si>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</si>
  <si>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</si>
  <si>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</si>
  <si>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</si>
  <si>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</si>
  <si>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</si>
  <si>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</si>
  <si>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</si>
  <si>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</si>
  <si>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</si>
  <si>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</si>
  <si>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</si>
  <si>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</si>
  <si>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</si>
  <si>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</si>
  <si>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</si>
  <si>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</si>
  <si>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</si>
  <si>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</si>
  <si>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</si>
  <si>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</si>
  <si>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</si>
  <si>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</si>
  <si>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</si>
  <si>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</si>
  <si>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</si>
  <si>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</si>
  <si>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</si>
  <si>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</si>
  <si>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</si>
  <si>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</si>
  <si>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</si>
  <si>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</si>
  <si>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</si>
  <si>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</si>
  <si>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</si>
  <si>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</si>
  <si>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</si>
  <si>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</si>
  <si>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</si>
  <si>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</si>
  <si>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</si>
  <si>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</si>
  <si>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</si>
  <si>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</si>
  <si>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</si>
  <si>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</si>
  <si>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</si>
  <si>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</si>
  <si>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</si>
  <si>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</si>
  <si>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</si>
  <si>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</si>
  <si>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</si>
  <si>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</si>
  <si>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</si>
  <si>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</si>
  <si>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</si>
  <si>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</si>
  <si>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</si>
  <si>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</si>
  <si>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</si>
  <si>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</si>
  <si>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</si>
  <si>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</si>
  <si>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</si>
  <si>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</si>
  <si>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</si>
  <si>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</si>
  <si>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</si>
  <si>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</si>
  <si>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</si>
  <si>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</si>
  <si>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</si>
  <si>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</si>
  <si>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</si>
  <si>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</si>
  <si>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</si>
  <si>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</si>
  <si>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</si>
  <si>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</si>
  <si>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</si>
  <si>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</si>
  <si>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</si>
  <si>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</si>
  <si>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</si>
  <si>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</si>
  <si>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</si>
  <si>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</si>
  <si>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</si>
  <si>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</si>
  <si>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</si>
  <si>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</si>
  <si>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</si>
  <si>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</si>
  <si>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</si>
  <si>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</si>
  <si>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</si>
  <si>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</si>
  <si>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</si>
  <si>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</si>
  <si>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</si>
  <si>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</si>
  <si>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</si>
  <si>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</si>
  <si>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</si>
  <si>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</si>
  <si>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</si>
  <si>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</si>
  <si>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</si>
  <si>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</si>
  <si>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</si>
  <si>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</si>
  <si>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</si>
  <si>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</si>
  <si>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</si>
  <si>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</si>
  <si>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</si>
  <si>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</si>
  <si>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</si>
  <si>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</si>
  <si>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</si>
  <si>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</si>
  <si>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</si>
  <si>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</si>
  <si>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</si>
  <si>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</si>
  <si>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</si>
  <si>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</si>
  <si>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</si>
  <si>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</si>
  <si>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</si>
  <si>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</si>
  <si>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</si>
  <si>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</si>
  <si>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</si>
  <si>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</si>
  <si>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</si>
  <si>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</si>
  <si>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</si>
  <si>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</si>
  <si>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</si>
  <si>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</si>
  <si>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</si>
  <si>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</si>
  <si>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</si>
  <si>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</si>
  <si>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</si>
  <si>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</si>
  <si>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</si>
  <si>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</si>
  <si>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</si>
  <si>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</si>
  <si>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</si>
  <si>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(viene de prevision de ingresos netos v2)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</si>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</sst>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67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3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3" applyNumberFormat="1" applyFont="1" applyBorder="1"/>
    <xf numFmtId="164" fontId="5" fillId="0" borderId="5" xfId="3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3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3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9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10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1" fillId="0" borderId="1" xfId="2" applyBorder="1"/>
    <xf numFmtId="0" fontId="11" fillId="0" borderId="0" xfId="2" applyBorder="1"/>
    <xf numFmtId="3" fontId="0" fillId="0" borderId="0" xfId="0" applyNumberFormat="1" applyBorder="1"/>
    <xf numFmtId="0" fontId="0" fillId="0" borderId="2" xfId="0" applyBorder="1"/>
    <xf numFmtId="170" fontId="11" fillId="0" borderId="0" xfId="2" applyNumberFormat="1" applyBorder="1" applyProtection="1"/>
    <xf numFmtId="0" fontId="11" fillId="0" borderId="3" xfId="2" applyBorder="1"/>
    <xf numFmtId="0" fontId="11" fillId="0" borderId="4" xfId="2" applyBorder="1"/>
    <xf numFmtId="170" fontId="11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3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2" fillId="0" borderId="2" xfId="0" applyFont="1" applyBorder="1"/>
    <xf numFmtId="0" fontId="12" fillId="0" borderId="5" xfId="0" applyFont="1" applyBorder="1"/>
    <xf numFmtId="0" fontId="12" fillId="0" borderId="1" xfId="0" applyFont="1" applyBorder="1"/>
    <xf numFmtId="0" fontId="12" fillId="0" borderId="3" xfId="0" applyFont="1" applyBorder="1"/>
    <xf numFmtId="4" fontId="12" fillId="0" borderId="8" xfId="0" applyNumberFormat="1" applyFont="1" applyBorder="1"/>
    <xf numFmtId="4" fontId="12" fillId="0" borderId="11" xfId="0" applyNumberFormat="1" applyFont="1" applyBorder="1"/>
    <xf numFmtId="4" fontId="12" fillId="0" borderId="12" xfId="0" applyNumberFormat="1" applyFont="1" applyBorder="1"/>
    <xf numFmtId="4" fontId="12" fillId="0" borderId="1" xfId="0" applyNumberFormat="1" applyFont="1" applyBorder="1"/>
    <xf numFmtId="4" fontId="12" fillId="0" borderId="0" xfId="0" applyNumberFormat="1" applyFont="1" applyBorder="1"/>
    <xf numFmtId="4" fontId="12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3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3" applyNumberFormat="1" applyFont="1" applyBorder="1"/>
    <xf numFmtId="0" fontId="13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3" applyNumberFormat="1" applyFont="1" applyBorder="1"/>
    <xf numFmtId="3" fontId="7" fillId="0" borderId="11" xfId="3" applyNumberFormat="1" applyFont="1" applyBorder="1"/>
    <xf numFmtId="0" fontId="5" fillId="0" borderId="13" xfId="0" applyFont="1" applyFill="1" applyBorder="1"/>
    <xf numFmtId="3" fontId="5" fillId="0" borderId="10" xfId="3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3" applyNumberFormat="1" applyFont="1" applyBorder="1"/>
    <xf numFmtId="3" fontId="5" fillId="0" borderId="0" xfId="3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9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3" applyNumberFormat="1" applyFont="1" applyBorder="1"/>
    <xf numFmtId="4" fontId="4" fillId="0" borderId="11" xfId="0" applyNumberFormat="1" applyFont="1" applyBorder="1"/>
    <xf numFmtId="9" fontId="5" fillId="0" borderId="0" xfId="3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3" applyFont="1" applyBorder="1"/>
    <xf numFmtId="9" fontId="5" fillId="0" borderId="12" xfId="3" applyFont="1" applyBorder="1"/>
    <xf numFmtId="9" fontId="5" fillId="0" borderId="2" xfId="3" applyFont="1" applyBorder="1"/>
    <xf numFmtId="9" fontId="5" fillId="0" borderId="6" xfId="3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3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9" fillId="0" borderId="2" xfId="0" applyNumberFormat="1" applyFont="1" applyBorder="1"/>
    <xf numFmtId="3" fontId="9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3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9" fillId="0" borderId="7" xfId="3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3" applyFont="1" applyBorder="1"/>
    <xf numFmtId="0" fontId="5" fillId="0" borderId="9" xfId="0" applyFont="1" applyBorder="1" applyAlignment="1">
      <alignment horizontal="left"/>
    </xf>
    <xf numFmtId="164" fontId="5" fillId="0" borderId="10" xfId="3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3" applyNumberFormat="1" applyFont="1" applyFill="1" applyBorder="1"/>
    <xf numFmtId="0" fontId="5" fillId="4" borderId="10" xfId="0" applyFont="1" applyFill="1" applyBorder="1"/>
    <xf numFmtId="9" fontId="5" fillId="4" borderId="6" xfId="3" applyFont="1" applyFill="1" applyBorder="1"/>
    <xf numFmtId="0" fontId="0" fillId="5" borderId="0" xfId="0" applyFill="1"/>
    <xf numFmtId="14" fontId="9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6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9" fillId="0" borderId="10" xfId="3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3" applyNumberFormat="1" applyFont="1" applyFill="1" applyBorder="1"/>
    <xf numFmtId="0" fontId="5" fillId="4" borderId="0" xfId="0" applyFont="1" applyFill="1" applyBorder="1"/>
    <xf numFmtId="9" fontId="5" fillId="4" borderId="0" xfId="3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9" fillId="0" borderId="12" xfId="0" applyNumberFormat="1" applyFont="1" applyBorder="1"/>
    <xf numFmtId="171" fontId="5" fillId="0" borderId="12" xfId="0" applyNumberFormat="1" applyFont="1" applyBorder="1"/>
    <xf numFmtId="3" fontId="17" fillId="0" borderId="1" xfId="0" applyNumberFormat="1" applyFont="1" applyBorder="1" applyAlignment="1">
      <alignment vertical="center"/>
    </xf>
    <xf numFmtId="16" fontId="5" fillId="6" borderId="10" xfId="0" applyNumberFormat="1" applyFont="1" applyFill="1" applyBorder="1"/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3" applyNumberFormat="1" applyFont="1" applyFill="1" applyBorder="1"/>
    <xf numFmtId="164" fontId="5" fillId="6" borderId="0" xfId="3" applyNumberFormat="1" applyFont="1" applyFill="1" applyBorder="1"/>
    <xf numFmtId="3" fontId="7" fillId="6" borderId="11" xfId="3" applyNumberFormat="1" applyFont="1" applyFill="1" applyBorder="1"/>
    <xf numFmtId="3" fontId="5" fillId="6" borderId="4" xfId="3" applyNumberFormat="1" applyFont="1" applyFill="1" applyBorder="1"/>
    <xf numFmtId="3" fontId="5" fillId="6" borderId="10" xfId="3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3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3" applyFont="1" applyBorder="1"/>
    <xf numFmtId="14" fontId="18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8" fillId="0" borderId="8" xfId="0" applyNumberFormat="1" applyFont="1" applyBorder="1"/>
    <xf numFmtId="14" fontId="18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9" fillId="3" borderId="0" xfId="3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0" fontId="18" fillId="5" borderId="0" xfId="0" applyFont="1" applyFill="1" applyAlignment="1">
      <alignment horizontal="left" wrapText="1"/>
    </xf>
    <xf numFmtId="0" fontId="8" fillId="5" borderId="0" xfId="1" applyFill="1" applyAlignment="1" applyProtection="1">
      <alignment horizontal="center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right" wrapText="1"/>
    </xf>
    <xf numFmtId="4" fontId="18" fillId="5" borderId="0" xfId="0" applyNumberFormat="1" applyFont="1" applyFill="1" applyAlignment="1">
      <alignment horizontal="right" wrapText="1"/>
    </xf>
    <xf numFmtId="14" fontId="18" fillId="5" borderId="0" xfId="0" applyNumberFormat="1" applyFont="1" applyFill="1" applyAlignment="1">
      <alignment horizontal="center" wrapText="1"/>
    </xf>
    <xf numFmtId="3" fontId="18" fillId="5" borderId="0" xfId="0" applyNumberFormat="1" applyFont="1" applyFill="1" applyAlignment="1">
      <alignment horizontal="right" wrapTex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3" applyNumberFormat="1" applyFont="1" applyBorder="1"/>
    <xf numFmtId="164" fontId="5" fillId="0" borderId="1" xfId="3" applyNumberFormat="1" applyFont="1" applyBorder="1"/>
    <xf numFmtId="3" fontId="7" fillId="0" borderId="8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Border="1"/>
    <xf numFmtId="3" fontId="4" fillId="0" borderId="1" xfId="0" applyNumberFormat="1" applyFont="1" applyBorder="1"/>
    <xf numFmtId="164" fontId="5" fillId="0" borderId="3" xfId="3" applyNumberFormat="1" applyFont="1" applyBorder="1"/>
    <xf numFmtId="16" fontId="5" fillId="0" borderId="6" xfId="0" applyNumberFormat="1" applyFont="1" applyBorder="1"/>
    <xf numFmtId="3" fontId="5" fillId="0" borderId="2" xfId="3" applyNumberFormat="1" applyFont="1" applyBorder="1"/>
    <xf numFmtId="3" fontId="7" fillId="0" borderId="12" xfId="3" applyNumberFormat="1" applyFont="1" applyBorder="1"/>
    <xf numFmtId="3" fontId="5" fillId="0" borderId="5" xfId="3" applyNumberFormat="1" applyFont="1" applyBorder="1"/>
    <xf numFmtId="3" fontId="5" fillId="0" borderId="6" xfId="3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1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9" fillId="3" borderId="0" xfId="3" applyNumberFormat="1" applyFont="1" applyFill="1" applyAlignment="1">
      <alignment horizontal="center"/>
    </xf>
    <xf numFmtId="10" fontId="5" fillId="0" borderId="9" xfId="3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9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3" applyFont="1" applyFill="1" applyBorder="1"/>
    <xf numFmtId="9" fontId="5" fillId="0" borderId="2" xfId="3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3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1" fillId="0" borderId="0" xfId="0" applyFont="1" applyAlignment="1">
      <alignment vertical="center"/>
    </xf>
    <xf numFmtId="14" fontId="21" fillId="0" borderId="1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5" fillId="0" borderId="10" xfId="0" applyNumberFormat="1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5" fillId="0" borderId="0" xfId="0" applyNumberFormat="1" applyFont="1" applyAlignment="1">
      <alignment horizontal="center" vertical="center"/>
    </xf>
    <xf numFmtId="0" fontId="27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5" fillId="0" borderId="6" xfId="0" applyNumberFormat="1" applyFont="1" applyBorder="1" applyAlignment="1">
      <alignment vertical="center"/>
    </xf>
    <xf numFmtId="0" fontId="9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3" applyFont="1" applyFill="1" applyBorder="1"/>
    <xf numFmtId="9" fontId="5" fillId="0" borderId="12" xfId="3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168" fontId="7" fillId="0" borderId="2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7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8" fillId="0" borderId="0" xfId="0" applyFont="1" applyAlignment="1">
      <alignment vertical="center"/>
    </xf>
    <xf numFmtId="169" fontId="27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9" fillId="0" borderId="1" xfId="0" applyNumberFormat="1" applyFont="1" applyFill="1" applyBorder="1" applyAlignment="1">
      <alignment horizontal="left" indent="1"/>
    </xf>
    <xf numFmtId="14" fontId="9" fillId="0" borderId="0" xfId="0" quotePrefix="1" applyNumberFormat="1" applyFont="1" applyBorder="1" applyAlignment="1">
      <alignment horizontal="center"/>
    </xf>
    <xf numFmtId="165" fontId="9" fillId="0" borderId="0" xfId="0" applyNumberFormat="1" applyFont="1" applyBorder="1"/>
    <xf numFmtId="4" fontId="9" fillId="0" borderId="1" xfId="0" applyNumberFormat="1" applyFont="1" applyBorder="1"/>
    <xf numFmtId="4" fontId="9" fillId="0" borderId="2" xfId="0" applyNumberFormat="1" applyFont="1" applyBorder="1"/>
    <xf numFmtId="164" fontId="9" fillId="0" borderId="2" xfId="3" applyNumberFormat="1" applyFont="1" applyBorder="1"/>
    <xf numFmtId="15" fontId="5" fillId="0" borderId="0" xfId="0" applyNumberFormat="1" applyFont="1" applyAlignment="1">
      <alignment horizontal="centerContinuous"/>
    </xf>
    <xf numFmtId="0" fontId="12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9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3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30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1" fillId="0" borderId="0" xfId="0" applyFont="1"/>
    <xf numFmtId="0" fontId="20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2" fillId="0" borderId="12" xfId="0" applyNumberFormat="1" applyFont="1" applyBorder="1"/>
    <xf numFmtId="3" fontId="32" fillId="0" borderId="2" xfId="0" applyNumberFormat="1" applyFont="1" applyBorder="1"/>
    <xf numFmtId="3" fontId="32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3" fillId="0" borderId="1" xfId="0" applyNumberFormat="1" applyFont="1" applyBorder="1" applyAlignment="1">
      <alignment horizontal="center"/>
    </xf>
    <xf numFmtId="168" fontId="33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3" applyNumberFormat="1" applyFont="1" applyBorder="1" applyAlignment="1">
      <alignment horizontal="center"/>
    </xf>
    <xf numFmtId="164" fontId="5" fillId="0" borderId="5" xfId="3" applyNumberFormat="1" applyFont="1" applyBorder="1" applyAlignment="1">
      <alignment horizontal="center"/>
    </xf>
    <xf numFmtId="164" fontId="5" fillId="0" borderId="7" xfId="3" applyNumberFormat="1" applyFont="1" applyBorder="1" applyAlignment="1">
      <alignment horizontal="center"/>
    </xf>
    <xf numFmtId="164" fontId="5" fillId="0" borderId="15" xfId="3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3" fillId="0" borderId="0" xfId="0" applyNumberFormat="1" applyFont="1" applyBorder="1" applyAlignment="1">
      <alignment horizontal="center"/>
    </xf>
    <xf numFmtId="167" fontId="33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9" fillId="3" borderId="6" xfId="3" applyNumberFormat="1" applyFont="1" applyFill="1" applyBorder="1" applyAlignment="1">
      <alignment horizontal="center"/>
    </xf>
    <xf numFmtId="3" fontId="34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4" fillId="0" borderId="6" xfId="3" applyNumberFormat="1" applyFont="1" applyBorder="1" applyAlignment="1">
      <alignment horizontal="center"/>
    </xf>
    <xf numFmtId="3" fontId="35" fillId="0" borderId="6" xfId="0" applyNumberFormat="1" applyFont="1" applyBorder="1"/>
    <xf numFmtId="4" fontId="5" fillId="0" borderId="1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3" fillId="0" borderId="0" xfId="0" applyFont="1"/>
    <xf numFmtId="3" fontId="36" fillId="0" borderId="2" xfId="0" applyNumberFormat="1" applyFont="1" applyBorder="1"/>
    <xf numFmtId="3" fontId="5" fillId="0" borderId="0" xfId="4" applyNumberFormat="1" applyFont="1" applyAlignment="1">
      <alignment horizontal="center"/>
    </xf>
    <xf numFmtId="3" fontId="5" fillId="0" borderId="0" xfId="4" applyNumberFormat="1" applyFont="1"/>
    <xf numFmtId="3" fontId="5" fillId="0" borderId="9" xfId="4" applyNumberFormat="1" applyFont="1" applyBorder="1" applyAlignment="1">
      <alignment horizontal="center"/>
    </xf>
    <xf numFmtId="3" fontId="5" fillId="0" borderId="10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/>
    </xf>
    <xf numFmtId="3" fontId="5" fillId="0" borderId="0" xfId="4" quotePrefix="1" applyNumberFormat="1" applyFont="1" applyAlignment="1">
      <alignment horizontal="center" vertical="center"/>
    </xf>
    <xf numFmtId="3" fontId="5" fillId="2" borderId="14" xfId="4" applyNumberFormat="1" applyFont="1" applyFill="1" applyBorder="1" applyAlignment="1">
      <alignment horizontal="left" vertical="center"/>
    </xf>
    <xf numFmtId="3" fontId="5" fillId="0" borderId="11" xfId="4" applyNumberFormat="1" applyFont="1" applyBorder="1" applyAlignment="1">
      <alignment vertical="center"/>
    </xf>
    <xf numFmtId="3" fontId="5" fillId="0" borderId="11" xfId="4" applyNumberFormat="1" applyFont="1" applyBorder="1" applyAlignment="1">
      <alignment horizontal="center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0" xfId="4" applyNumberFormat="1" applyFont="1" applyAlignment="1">
      <alignment vertical="center"/>
    </xf>
    <xf numFmtId="3" fontId="5" fillId="2" borderId="15" xfId="4" applyNumberFormat="1" applyFont="1" applyFill="1" applyBorder="1" applyAlignment="1">
      <alignment horizontal="left" vertical="center"/>
    </xf>
    <xf numFmtId="3" fontId="5" fillId="0" borderId="4" xfId="4" applyNumberFormat="1" applyFont="1" applyBorder="1" applyAlignment="1">
      <alignment vertical="center"/>
    </xf>
    <xf numFmtId="3" fontId="5" fillId="0" borderId="4" xfId="4" applyNumberFormat="1" applyFont="1" applyBorder="1" applyAlignment="1">
      <alignment horizontal="center" vertical="center"/>
    </xf>
    <xf numFmtId="3" fontId="5" fillId="0" borderId="5" xfId="4" applyNumberFormat="1" applyFont="1" applyBorder="1" applyAlignment="1">
      <alignment horizontal="center" vertical="center"/>
    </xf>
    <xf numFmtId="3" fontId="5" fillId="0" borderId="1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2" borderId="13" xfId="4" applyNumberFormat="1" applyFont="1" applyFill="1" applyBorder="1" applyAlignment="1">
      <alignment horizontal="center" vertical="center" wrapText="1"/>
    </xf>
    <xf numFmtId="3" fontId="5" fillId="0" borderId="10" xfId="4" applyNumberFormat="1" applyFont="1" applyBorder="1" applyAlignment="1">
      <alignment horizontal="center" vertical="center"/>
    </xf>
    <xf numFmtId="3" fontId="5" fillId="0" borderId="6" xfId="4" applyNumberFormat="1" applyFont="1" applyBorder="1" applyAlignment="1">
      <alignment horizontal="center" vertical="center"/>
    </xf>
    <xf numFmtId="3" fontId="5" fillId="0" borderId="7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center" vertical="center" wrapText="1"/>
    </xf>
    <xf numFmtId="3" fontId="5" fillId="0" borderId="2" xfId="4" applyNumberFormat="1" applyFont="1" applyBorder="1" applyAlignment="1">
      <alignment horizontal="center" vertical="center" wrapText="1"/>
    </xf>
    <xf numFmtId="3" fontId="5" fillId="0" borderId="8" xfId="4" applyNumberFormat="1" applyFont="1" applyBorder="1" applyAlignment="1">
      <alignment vertical="center"/>
    </xf>
    <xf numFmtId="3" fontId="5" fillId="2" borderId="33" xfId="4" applyNumberFormat="1" applyFont="1" applyFill="1" applyBorder="1" applyAlignment="1">
      <alignment horizontal="left" vertical="center"/>
    </xf>
    <xf numFmtId="3" fontId="5" fillId="0" borderId="27" xfId="4" applyNumberFormat="1" applyFont="1" applyBorder="1" applyAlignment="1">
      <alignment vertical="center"/>
    </xf>
    <xf numFmtId="3" fontId="5" fillId="0" borderId="27" xfId="4" applyNumberFormat="1" applyFont="1" applyBorder="1" applyAlignment="1">
      <alignment horizontal="center" vertical="center" wrapText="1"/>
    </xf>
    <xf numFmtId="3" fontId="5" fillId="0" borderId="29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vertical="center"/>
    </xf>
    <xf numFmtId="3" fontId="9" fillId="0" borderId="0" xfId="4" applyNumberFormat="1" applyFont="1" applyAlignment="1">
      <alignment vertical="center"/>
    </xf>
    <xf numFmtId="3" fontId="5" fillId="0" borderId="3" xfId="4" applyNumberFormat="1" applyFont="1" applyBorder="1" applyAlignment="1">
      <alignment vertical="center"/>
    </xf>
    <xf numFmtId="3" fontId="5" fillId="0" borderId="4" xfId="4" applyNumberFormat="1" applyFont="1" applyBorder="1" applyAlignment="1">
      <alignment horizontal="center" vertical="center" wrapText="1"/>
    </xf>
    <xf numFmtId="3" fontId="5" fillId="0" borderId="5" xfId="4" applyNumberFormat="1" applyFont="1" applyBorder="1" applyAlignment="1">
      <alignment horizontal="center" vertical="center" wrapText="1"/>
    </xf>
    <xf numFmtId="15" fontId="5" fillId="0" borderId="0" xfId="4" applyNumberFormat="1" applyFont="1" applyAlignment="1">
      <alignment horizontal="centerContinuous"/>
    </xf>
    <xf numFmtId="3" fontId="5" fillId="0" borderId="0" xfId="4" applyNumberFormat="1" applyFont="1" applyAlignment="1">
      <alignment horizontal="centerContinuous"/>
    </xf>
    <xf numFmtId="3" fontId="9" fillId="0" borderId="0" xfId="4" applyNumberFormat="1" applyFont="1"/>
    <xf numFmtId="3" fontId="10" fillId="0" borderId="0" xfId="4" applyNumberFormat="1" applyFont="1" applyAlignment="1">
      <alignment horizontal="centerContinuous"/>
    </xf>
    <xf numFmtId="3" fontId="5" fillId="2" borderId="8" xfId="4" applyNumberFormat="1" applyFont="1" applyFill="1" applyBorder="1" applyAlignment="1">
      <alignment horizontal="centerContinuous"/>
    </xf>
    <xf numFmtId="3" fontId="5" fillId="2" borderId="11" xfId="4" applyNumberFormat="1" applyFont="1" applyFill="1" applyBorder="1" applyAlignment="1">
      <alignment horizontal="centerContinuous"/>
    </xf>
    <xf numFmtId="3" fontId="5" fillId="2" borderId="9" xfId="4" applyNumberFormat="1" applyFont="1" applyFill="1" applyBorder="1" applyAlignment="1">
      <alignment horizontal="centerContinuous"/>
    </xf>
    <xf numFmtId="3" fontId="5" fillId="2" borderId="34" xfId="4" applyNumberFormat="1" applyFont="1" applyFill="1" applyBorder="1" applyAlignment="1">
      <alignment horizontal="centerContinuous"/>
    </xf>
    <xf numFmtId="3" fontId="5" fillId="2" borderId="6" xfId="4" applyNumberFormat="1" applyFont="1" applyFill="1" applyBorder="1" applyAlignment="1">
      <alignment horizontal="centerContinuous"/>
    </xf>
    <xf numFmtId="3" fontId="4" fillId="0" borderId="8" xfId="4" applyNumberFormat="1" applyFont="1" applyFill="1" applyBorder="1"/>
    <xf numFmtId="3" fontId="4" fillId="0" borderId="11" xfId="4" applyNumberFormat="1" applyFont="1" applyFill="1" applyBorder="1"/>
    <xf numFmtId="3" fontId="5" fillId="0" borderId="1" xfId="4" applyNumberFormat="1" applyFont="1" applyBorder="1"/>
    <xf numFmtId="3" fontId="5" fillId="0" borderId="35" xfId="4" applyNumberFormat="1" applyFont="1" applyBorder="1"/>
    <xf numFmtId="3" fontId="5" fillId="0" borderId="2" xfId="4" applyNumberFormat="1" applyFont="1" applyBorder="1"/>
    <xf numFmtId="3" fontId="5" fillId="0" borderId="1" xfId="4" applyNumberFormat="1" applyFont="1" applyFill="1" applyBorder="1" applyAlignment="1">
      <alignment horizontal="left" indent="1"/>
    </xf>
    <xf numFmtId="3" fontId="5" fillId="0" borderId="0" xfId="4" applyNumberFormat="1" applyFont="1" applyBorder="1"/>
    <xf numFmtId="3" fontId="16" fillId="0" borderId="0" xfId="4" applyNumberFormat="1" applyFont="1" applyBorder="1"/>
    <xf numFmtId="3" fontId="5" fillId="0" borderId="1" xfId="4" applyNumberFormat="1" applyFont="1" applyBorder="1" applyAlignment="1">
      <alignment horizontal="left" indent="1"/>
    </xf>
    <xf numFmtId="3" fontId="36" fillId="0" borderId="0" xfId="4" applyNumberFormat="1" applyFont="1" applyBorder="1"/>
    <xf numFmtId="3" fontId="7" fillId="0" borderId="0" xfId="4" applyNumberFormat="1" applyFont="1" applyBorder="1"/>
    <xf numFmtId="3" fontId="5" fillId="0" borderId="3" xfId="4" applyNumberFormat="1" applyFont="1" applyBorder="1" applyAlignment="1">
      <alignment horizontal="left" indent="1"/>
    </xf>
    <xf numFmtId="3" fontId="5" fillId="0" borderId="4" xfId="4" applyNumberFormat="1" applyFont="1" applyBorder="1"/>
    <xf numFmtId="3" fontId="4" fillId="0" borderId="1" xfId="4" applyNumberFormat="1" applyFont="1" applyFill="1" applyBorder="1"/>
    <xf numFmtId="3" fontId="4" fillId="0" borderId="0" xfId="4" applyNumberFormat="1" applyFont="1" applyBorder="1"/>
    <xf numFmtId="3" fontId="5" fillId="0" borderId="3" xfId="4" applyNumberFormat="1" applyFont="1" applyFill="1" applyBorder="1" applyAlignment="1">
      <alignment horizontal="left" indent="1"/>
    </xf>
    <xf numFmtId="3" fontId="4" fillId="0" borderId="11" xfId="4" applyNumberFormat="1" applyFont="1" applyBorder="1"/>
    <xf numFmtId="3" fontId="5" fillId="0" borderId="3" xfId="4" applyNumberFormat="1" applyFont="1" applyBorder="1"/>
    <xf numFmtId="3" fontId="5" fillId="0" borderId="9" xfId="4" applyNumberFormat="1" applyFont="1" applyFill="1" applyBorder="1"/>
    <xf numFmtId="3" fontId="5" fillId="0" borderId="10" xfId="4" applyNumberFormat="1" applyFont="1" applyBorder="1"/>
    <xf numFmtId="3" fontId="5" fillId="0" borderId="9" xfId="4" applyNumberFormat="1" applyFont="1" applyBorder="1"/>
    <xf numFmtId="3" fontId="5" fillId="0" borderId="34" xfId="4" applyNumberFormat="1" applyFont="1" applyBorder="1"/>
    <xf numFmtId="3" fontId="5" fillId="0" borderId="6" xfId="4" applyNumberFormat="1" applyFont="1" applyBorder="1"/>
    <xf numFmtId="3" fontId="5" fillId="0" borderId="0" xfId="4" applyNumberFormat="1" applyFont="1" applyFill="1"/>
    <xf numFmtId="3" fontId="5" fillId="2" borderId="12" xfId="4" applyNumberFormat="1" applyFont="1" applyFill="1" applyBorder="1" applyAlignment="1">
      <alignment horizontal="centerContinuous"/>
    </xf>
    <xf numFmtId="3" fontId="4" fillId="0" borderId="12" xfId="4" applyNumberFormat="1" applyFont="1" applyFill="1" applyBorder="1"/>
    <xf numFmtId="3" fontId="7" fillId="0" borderId="2" xfId="4" applyNumberFormat="1" applyFont="1" applyBorder="1"/>
    <xf numFmtId="3" fontId="5" fillId="3" borderId="1" xfId="4" applyNumberFormat="1" applyFont="1" applyFill="1" applyBorder="1" applyAlignment="1">
      <alignment horizontal="left" indent="1"/>
    </xf>
    <xf numFmtId="3" fontId="5" fillId="3" borderId="2" xfId="4" applyNumberFormat="1" applyFont="1" applyFill="1" applyBorder="1"/>
    <xf numFmtId="3" fontId="5" fillId="0" borderId="5" xfId="4" applyNumberFormat="1" applyFont="1" applyBorder="1"/>
    <xf numFmtId="3" fontId="4" fillId="0" borderId="12" xfId="4" applyNumberFormat="1" applyFont="1" applyBorder="1"/>
    <xf numFmtId="3" fontId="5" fillId="0" borderId="3" xfId="4" applyNumberFormat="1" applyFont="1" applyFill="1" applyBorder="1"/>
    <xf numFmtId="3" fontId="9" fillId="0" borderId="2" xfId="4" applyNumberFormat="1" applyFont="1" applyBorder="1"/>
    <xf numFmtId="3" fontId="36" fillId="0" borderId="11" xfId="3" applyNumberFormat="1" applyFont="1" applyBorder="1"/>
    <xf numFmtId="3" fontId="36" fillId="0" borderId="12" xfId="3" applyNumberFormat="1" applyFont="1" applyBorder="1"/>
    <xf numFmtId="3" fontId="36" fillId="6" borderId="11" xfId="3" applyNumberFormat="1" applyFont="1" applyFill="1" applyBorder="1"/>
    <xf numFmtId="3" fontId="36" fillId="0" borderId="8" xfId="3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7" fillId="0" borderId="1" xfId="0" applyNumberFormat="1" applyFont="1" applyBorder="1"/>
    <xf numFmtId="173" fontId="37" fillId="0" borderId="0" xfId="0" applyNumberFormat="1" applyFont="1" applyBorder="1"/>
    <xf numFmtId="3" fontId="37" fillId="0" borderId="0" xfId="0" applyNumberFormat="1" applyFont="1" applyBorder="1"/>
    <xf numFmtId="3" fontId="37" fillId="0" borderId="2" xfId="0" applyNumberFormat="1" applyFont="1" applyBorder="1"/>
    <xf numFmtId="0" fontId="2" fillId="0" borderId="0" xfId="5"/>
    <xf numFmtId="0" fontId="2" fillId="7" borderId="8" xfId="5" applyFill="1" applyBorder="1" applyAlignment="1">
      <alignment horizontal="left"/>
    </xf>
    <xf numFmtId="0" fontId="2" fillId="7" borderId="11" xfId="5" applyFill="1" applyBorder="1"/>
    <xf numFmtId="0" fontId="2" fillId="7" borderId="12" xfId="5" applyFill="1" applyBorder="1"/>
    <xf numFmtId="0" fontId="2" fillId="8" borderId="8" xfId="5" applyFill="1" applyBorder="1" applyAlignment="1">
      <alignment horizontal="left"/>
    </xf>
    <xf numFmtId="0" fontId="2" fillId="8" borderId="11" xfId="5" applyFill="1" applyBorder="1"/>
    <xf numFmtId="0" fontId="2" fillId="8" borderId="12" xfId="5" applyFill="1" applyBorder="1"/>
    <xf numFmtId="0" fontId="2" fillId="7" borderId="1" xfId="5" applyFill="1" applyBorder="1" applyAlignment="1">
      <alignment horizontal="center"/>
    </xf>
    <xf numFmtId="0" fontId="2" fillId="7" borderId="0" xfId="5" applyFill="1" applyBorder="1" applyAlignment="1">
      <alignment horizontal="center"/>
    </xf>
    <xf numFmtId="0" fontId="2" fillId="7" borderId="2" xfId="5" applyFill="1" applyBorder="1" applyAlignment="1">
      <alignment horizontal="center"/>
    </xf>
    <xf numFmtId="0" fontId="2" fillId="8" borderId="1" xfId="5" applyFill="1" applyBorder="1" applyAlignment="1">
      <alignment horizontal="center"/>
    </xf>
    <xf numFmtId="0" fontId="2" fillId="8" borderId="0" xfId="5" applyFill="1" applyBorder="1" applyAlignment="1">
      <alignment horizontal="center"/>
    </xf>
    <xf numFmtId="0" fontId="2" fillId="8" borderId="2" xfId="5" applyFill="1" applyBorder="1" applyAlignment="1">
      <alignment horizontal="center"/>
    </xf>
    <xf numFmtId="0" fontId="2" fillId="0" borderId="14" xfId="5" applyBorder="1"/>
    <xf numFmtId="3" fontId="2" fillId="0" borderId="36" xfId="5" applyNumberFormat="1" applyBorder="1" applyAlignment="1">
      <alignment vertical="center"/>
    </xf>
    <xf numFmtId="3" fontId="2" fillId="0" borderId="37" xfId="5" applyNumberFormat="1" applyBorder="1" applyAlignment="1">
      <alignment vertical="center"/>
    </xf>
    <xf numFmtId="3" fontId="2" fillId="0" borderId="38" xfId="5" applyNumberFormat="1" applyBorder="1" applyAlignment="1">
      <alignment vertical="center"/>
    </xf>
    <xf numFmtId="0" fontId="38" fillId="0" borderId="7" xfId="5" applyFont="1" applyBorder="1" applyAlignment="1">
      <alignment horizontal="left" indent="2"/>
    </xf>
    <xf numFmtId="3" fontId="38" fillId="0" borderId="0" xfId="5" applyNumberFormat="1" applyFont="1" applyBorder="1" applyAlignment="1">
      <alignment vertical="center"/>
    </xf>
    <xf numFmtId="3" fontId="38" fillId="0" borderId="2" xfId="5" applyNumberFormat="1" applyFont="1" applyBorder="1" applyAlignment="1">
      <alignment vertical="center"/>
    </xf>
    <xf numFmtId="3" fontId="2" fillId="0" borderId="0" xfId="5" applyNumberFormat="1" applyAlignment="1">
      <alignment vertical="center"/>
    </xf>
    <xf numFmtId="0" fontId="38" fillId="0" borderId="15" xfId="5" applyFont="1" applyBorder="1" applyAlignment="1">
      <alignment horizontal="left" indent="2"/>
    </xf>
    <xf numFmtId="3" fontId="38" fillId="0" borderId="4" xfId="5" applyNumberFormat="1" applyFont="1" applyBorder="1" applyAlignment="1">
      <alignment vertical="center"/>
    </xf>
    <xf numFmtId="3" fontId="38" fillId="0" borderId="5" xfId="5" applyNumberFormat="1" applyFont="1" applyBorder="1" applyAlignment="1">
      <alignment vertical="center"/>
    </xf>
    <xf numFmtId="0" fontId="39" fillId="0" borderId="7" xfId="5" applyFont="1" applyBorder="1" applyAlignment="1">
      <alignment horizontal="left" indent="2"/>
    </xf>
    <xf numFmtId="3" fontId="39" fillId="0" borderId="0" xfId="5" applyNumberFormat="1" applyFont="1" applyBorder="1" applyAlignment="1">
      <alignment vertical="center"/>
    </xf>
    <xf numFmtId="3" fontId="39" fillId="0" borderId="2" xfId="5" applyNumberFormat="1" applyFont="1" applyBorder="1" applyAlignment="1">
      <alignment vertical="center"/>
    </xf>
    <xf numFmtId="0" fontId="39" fillId="0" borderId="15" xfId="5" applyFont="1" applyBorder="1" applyAlignment="1">
      <alignment horizontal="left" indent="2"/>
    </xf>
    <xf numFmtId="3" fontId="39" fillId="0" borderId="4" xfId="5" applyNumberFormat="1" applyFont="1" applyBorder="1" applyAlignment="1">
      <alignment vertical="center"/>
    </xf>
    <xf numFmtId="3" fontId="39" fillId="0" borderId="5" xfId="5" applyNumberFormat="1" applyFont="1" applyBorder="1" applyAlignment="1">
      <alignment vertical="center"/>
    </xf>
    <xf numFmtId="0" fontId="2" fillId="0" borderId="13" xfId="5" applyFill="1" applyBorder="1" applyAlignment="1">
      <alignment horizontal="left"/>
    </xf>
    <xf numFmtId="3" fontId="2" fillId="0" borderId="10" xfId="5" applyNumberFormat="1" applyBorder="1" applyAlignment="1">
      <alignment vertical="center"/>
    </xf>
    <xf numFmtId="3" fontId="2" fillId="0" borderId="6" xfId="5" applyNumberFormat="1" applyBorder="1" applyAlignment="1">
      <alignment vertical="center"/>
    </xf>
    <xf numFmtId="0" fontId="38" fillId="0" borderId="0" xfId="5" applyFont="1" applyBorder="1" applyAlignment="1">
      <alignment horizontal="left" indent="2"/>
    </xf>
    <xf numFmtId="0" fontId="2" fillId="0" borderId="14" xfId="5" applyFont="1" applyBorder="1" applyAlignment="1">
      <alignment horizontal="left"/>
    </xf>
    <xf numFmtId="3" fontId="2" fillId="0" borderId="8" xfId="5" applyNumberFormat="1" applyBorder="1" applyAlignment="1">
      <alignment vertical="center"/>
    </xf>
    <xf numFmtId="3" fontId="2" fillId="0" borderId="11" xfId="5" applyNumberFormat="1" applyBorder="1" applyAlignment="1">
      <alignment vertical="center"/>
    </xf>
    <xf numFmtId="3" fontId="2" fillId="0" borderId="12" xfId="5" applyNumberFormat="1" applyBorder="1" applyAlignment="1">
      <alignment vertical="center"/>
    </xf>
    <xf numFmtId="0" fontId="2" fillId="0" borderId="15" xfId="5" applyFont="1" applyBorder="1" applyAlignment="1">
      <alignment horizontal="left"/>
    </xf>
    <xf numFmtId="3" fontId="2" fillId="0" borderId="3" xfId="5" applyNumberFormat="1" applyBorder="1" applyAlignment="1">
      <alignment vertical="center"/>
    </xf>
    <xf numFmtId="3" fontId="2" fillId="0" borderId="4" xfId="5" applyNumberFormat="1" applyBorder="1" applyAlignment="1">
      <alignment vertical="center"/>
    </xf>
    <xf numFmtId="3" fontId="2" fillId="0" borderId="5" xfId="5" applyNumberFormat="1" applyBorder="1" applyAlignment="1">
      <alignment vertical="center"/>
    </xf>
    <xf numFmtId="3" fontId="2" fillId="0" borderId="13" xfId="5" applyNumberFormat="1" applyBorder="1"/>
    <xf numFmtId="3" fontId="2" fillId="0" borderId="14" xfId="5" applyNumberFormat="1" applyBorder="1" applyAlignment="1">
      <alignment vertical="center"/>
    </xf>
    <xf numFmtId="3" fontId="2" fillId="0" borderId="0" xfId="5" applyNumberFormat="1" applyAlignment="1">
      <alignment horizontal="right" vertical="center"/>
    </xf>
    <xf numFmtId="3" fontId="2" fillId="0" borderId="14" xfId="5" applyNumberFormat="1" applyBorder="1" applyAlignment="1">
      <alignment horizontal="right" vertical="center"/>
    </xf>
    <xf numFmtId="0" fontId="2" fillId="0" borderId="0" xfId="5" applyAlignment="1">
      <alignment horizontal="right"/>
    </xf>
    <xf numFmtId="3" fontId="2" fillId="0" borderId="7" xfId="5" applyNumberFormat="1" applyBorder="1" applyAlignment="1">
      <alignment vertical="center"/>
    </xf>
    <xf numFmtId="0" fontId="2" fillId="0" borderId="7" xfId="5" applyBorder="1"/>
    <xf numFmtId="0" fontId="2" fillId="0" borderId="15" xfId="5" applyBorder="1"/>
    <xf numFmtId="10" fontId="5" fillId="0" borderId="0" xfId="3" applyNumberFormat="1" applyFont="1"/>
    <xf numFmtId="0" fontId="36" fillId="0" borderId="0" xfId="0" applyFont="1"/>
    <xf numFmtId="3" fontId="36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3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5" fillId="0" borderId="0" xfId="4" applyFont="1" applyBorder="1"/>
    <xf numFmtId="3" fontId="5" fillId="0" borderId="0" xfId="4" applyNumberFormat="1" applyFont="1" applyBorder="1"/>
    <xf numFmtId="3" fontId="5" fillId="3" borderId="13" xfId="4" applyNumberFormat="1" applyFont="1" applyFill="1" applyBorder="1"/>
    <xf numFmtId="3" fontId="4" fillId="0" borderId="10" xfId="4" applyNumberFormat="1" applyFont="1" applyBorder="1"/>
    <xf numFmtId="0" fontId="3" fillId="0" borderId="0" xfId="4"/>
    <xf numFmtId="0" fontId="5" fillId="0" borderId="0" xfId="4" applyFont="1" applyBorder="1"/>
    <xf numFmtId="3" fontId="5" fillId="0" borderId="1" xfId="4" applyNumberFormat="1" applyFont="1" applyBorder="1"/>
    <xf numFmtId="3" fontId="5" fillId="0" borderId="2" xfId="4" applyNumberFormat="1" applyFont="1" applyBorder="1"/>
    <xf numFmtId="164" fontId="5" fillId="0" borderId="2" xfId="3" applyNumberFormat="1" applyFont="1" applyBorder="1"/>
    <xf numFmtId="3" fontId="5" fillId="0" borderId="5" xfId="4" applyNumberFormat="1" applyFont="1" applyBorder="1"/>
    <xf numFmtId="3" fontId="5" fillId="0" borderId="0" xfId="4" applyNumberFormat="1" applyFont="1"/>
    <xf numFmtId="3" fontId="5" fillId="0" borderId="6" xfId="4" applyNumberFormat="1" applyFont="1" applyBorder="1"/>
    <xf numFmtId="3" fontId="5" fillId="2" borderId="8" xfId="4" applyNumberFormat="1" applyFont="1" applyFill="1" applyBorder="1" applyAlignment="1">
      <alignment horizontal="centerContinuous"/>
    </xf>
    <xf numFmtId="164" fontId="5" fillId="0" borderId="0" xfId="3" applyNumberFormat="1" applyFont="1" applyBorder="1"/>
    <xf numFmtId="3" fontId="4" fillId="0" borderId="8" xfId="4" applyNumberFormat="1" applyFont="1" applyFill="1" applyBorder="1"/>
    <xf numFmtId="3" fontId="4" fillId="0" borderId="12" xfId="4" applyNumberFormat="1" applyFont="1" applyFill="1" applyBorder="1"/>
    <xf numFmtId="3" fontId="7" fillId="0" borderId="2" xfId="4" applyNumberFormat="1" applyFont="1" applyBorder="1"/>
    <xf numFmtId="3" fontId="4" fillId="0" borderId="12" xfId="4" applyNumberFormat="1" applyFont="1" applyBorder="1"/>
    <xf numFmtId="3" fontId="5" fillId="2" borderId="12" xfId="4" applyNumberFormat="1" applyFont="1" applyFill="1" applyBorder="1" applyAlignment="1">
      <alignment horizontal="centerContinuous"/>
    </xf>
    <xf numFmtId="3" fontId="5" fillId="0" borderId="1" xfId="4" applyNumberFormat="1" applyFont="1" applyFill="1" applyBorder="1" applyAlignment="1">
      <alignment horizontal="left" indent="1"/>
    </xf>
    <xf numFmtId="3" fontId="5" fillId="0" borderId="3" xfId="4" applyNumberFormat="1" applyFont="1" applyFill="1" applyBorder="1"/>
    <xf numFmtId="3" fontId="5" fillId="0" borderId="9" xfId="4" applyNumberFormat="1" applyFont="1" applyFill="1" applyBorder="1"/>
    <xf numFmtId="3" fontId="5" fillId="0" borderId="0" xfId="4" applyNumberFormat="1" applyFont="1" applyFill="1"/>
    <xf numFmtId="3" fontId="5" fillId="0" borderId="1" xfId="4" applyNumberFormat="1" applyFont="1" applyBorder="1" applyAlignment="1">
      <alignment horizontal="left" indent="1"/>
    </xf>
    <xf numFmtId="164" fontId="5" fillId="0" borderId="0" xfId="3" applyNumberFormat="1" applyFont="1"/>
    <xf numFmtId="3" fontId="5" fillId="3" borderId="13" xfId="4" applyNumberFormat="1" applyFont="1" applyFill="1" applyBorder="1"/>
    <xf numFmtId="3" fontId="4" fillId="0" borderId="9" xfId="4" applyNumberFormat="1" applyFont="1" applyBorder="1"/>
    <xf numFmtId="3" fontId="4" fillId="0" borderId="10" xfId="4" applyNumberFormat="1" applyFont="1" applyBorder="1"/>
    <xf numFmtId="3" fontId="5" fillId="0" borderId="4" xfId="3" applyNumberFormat="1" applyFont="1" applyBorder="1"/>
    <xf numFmtId="3" fontId="7" fillId="0" borderId="11" xfId="3" applyNumberFormat="1" applyFont="1" applyBorder="1"/>
    <xf numFmtId="3" fontId="5" fillId="0" borderId="10" xfId="3" applyNumberFormat="1" applyFont="1" applyBorder="1"/>
    <xf numFmtId="164" fontId="5" fillId="0" borderId="4" xfId="3" applyNumberFormat="1" applyFont="1" applyBorder="1"/>
    <xf numFmtId="3" fontId="5" fillId="0" borderId="0" xfId="3" applyNumberFormat="1" applyFont="1" applyBorder="1"/>
    <xf numFmtId="3" fontId="4" fillId="0" borderId="13" xfId="4" applyNumberFormat="1" applyFont="1" applyBorder="1"/>
    <xf numFmtId="3" fontId="5" fillId="0" borderId="3" xfId="4" applyNumberFormat="1" applyFont="1" applyBorder="1"/>
    <xf numFmtId="3" fontId="4" fillId="0" borderId="1" xfId="4" applyNumberFormat="1" applyFont="1" applyFill="1" applyBorder="1"/>
    <xf numFmtId="3" fontId="4" fillId="0" borderId="2" xfId="4" applyNumberFormat="1" applyFont="1" applyBorder="1"/>
    <xf numFmtId="3" fontId="9" fillId="0" borderId="2" xfId="4" applyNumberFormat="1" applyFont="1" applyBorder="1"/>
    <xf numFmtId="3" fontId="16" fillId="0" borderId="2" xfId="4" applyNumberFormat="1" applyFont="1" applyBorder="1"/>
    <xf numFmtId="3" fontId="5" fillId="0" borderId="3" xfId="4" applyNumberFormat="1" applyFont="1" applyBorder="1" applyAlignment="1">
      <alignment horizontal="left" indent="1"/>
    </xf>
    <xf numFmtId="3" fontId="5" fillId="0" borderId="3" xfId="4" applyNumberFormat="1" applyFont="1" applyFill="1" applyBorder="1" applyAlignment="1">
      <alignment horizontal="left" indent="1"/>
    </xf>
    <xf numFmtId="3" fontId="5" fillId="3" borderId="1" xfId="4" applyNumberFormat="1" applyFont="1" applyFill="1" applyBorder="1" applyAlignment="1">
      <alignment horizontal="left" indent="1"/>
    </xf>
    <xf numFmtId="3" fontId="5" fillId="3" borderId="2" xfId="4" applyNumberFormat="1" applyFont="1" applyFill="1" applyBorder="1"/>
    <xf numFmtId="3" fontId="36" fillId="0" borderId="2" xfId="4" applyNumberFormat="1" applyFont="1" applyBorder="1"/>
    <xf numFmtId="3" fontId="5" fillId="0" borderId="0" xfId="4" applyNumberFormat="1" applyFont="1" applyBorder="1"/>
    <xf numFmtId="3" fontId="36" fillId="0" borderId="11" xfId="3" applyNumberFormat="1" applyFont="1" applyBorder="1"/>
    <xf numFmtId="3" fontId="36" fillId="0" borderId="1" xfId="4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4" applyNumberFormat="1" applyFont="1" applyBorder="1"/>
    <xf numFmtId="16" fontId="5" fillId="0" borderId="5" xfId="4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7">
    <cellStyle name="Lien hypertexte" xfId="1" builtinId="8"/>
    <cellStyle name="Normal" xfId="0" builtinId="0"/>
    <cellStyle name="Normal 2" xfId="4"/>
    <cellStyle name="Normal 3" xfId="5"/>
    <cellStyle name="Normal 3 2" xfId="6"/>
    <cellStyle name="Normal_G. Chaves" xfId="2"/>
    <cellStyle name="Pourcentage" xfId="3" builtinId="5"/>
  </cellStyles>
  <dxfs count="7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  <c:pt idx="77">
                  <c:v>333527.55500000005</c:v>
                </c:pt>
                <c:pt idx="78">
                  <c:v>387859.11500000005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  <c:pt idx="77">
                  <c:v>192250</c:v>
                </c:pt>
                <c:pt idx="78">
                  <c:v>193750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  <c:pt idx="77">
                  <c:v>378800</c:v>
                </c:pt>
                <c:pt idx="78">
                  <c:v>297400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  <c:pt idx="77">
                  <c:v>308266.36898219807</c:v>
                </c:pt>
                <c:pt idx="78">
                  <c:v>316716.44198219804</c:v>
                </c:pt>
              </c:numCache>
            </c:numRef>
          </c:val>
        </c:ser>
        <c:axId val="95729152"/>
        <c:axId val="95730688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  <c:pt idx="77">
                  <c:v>336471.52593023254</c:v>
                </c:pt>
                <c:pt idx="78">
                  <c:v>408052.88293023256</c:v>
                </c:pt>
              </c:numCache>
            </c:numRef>
          </c:val>
        </c:ser>
        <c:marker val="1"/>
        <c:axId val="95729152"/>
        <c:axId val="95730688"/>
      </c:lineChart>
      <c:catAx>
        <c:axId val="95729152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95730688"/>
        <c:crosses val="autoZero"/>
        <c:auto val="1"/>
        <c:lblAlgn val="ctr"/>
        <c:lblOffset val="100"/>
        <c:tickLblSkip val="3"/>
        <c:tickMarkSkip val="1"/>
      </c:catAx>
      <c:valAx>
        <c:axId val="9573068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95729152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3" r="0.750000000000003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018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84"/>
          <c:y val="0.16591928251121263"/>
          <c:w val="0.83076923076923082"/>
          <c:h val="0.71748878923766291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  <c:pt idx="76">
                  <c:v>171432.80176356586</c:v>
                </c:pt>
                <c:pt idx="77">
                  <c:v>186526.761763566</c:v>
                </c:pt>
                <c:pt idx="78">
                  <c:v>169276.96476356598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  <c:pt idx="76">
                  <c:v>869440.52450854843</c:v>
                </c:pt>
                <c:pt idx="77">
                  <c:v>877393.25950854842</c:v>
                </c:pt>
                <c:pt idx="78">
                  <c:v>877524.68950854836</c:v>
                </c:pt>
              </c:numCache>
            </c:numRef>
          </c:yVal>
          <c:smooth val="1"/>
        </c:ser>
        <c:axId val="95831168"/>
        <c:axId val="95832704"/>
      </c:scatterChart>
      <c:valAx>
        <c:axId val="9583116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832704"/>
        <c:crosses val="autoZero"/>
        <c:crossBetween val="midCat"/>
      </c:valAx>
      <c:valAx>
        <c:axId val="958327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8311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68"/>
          <c:y val="0.93464166754941025"/>
          <c:w val="0.28341691903896887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" r="0.750000000000003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213</xdr:row>
      <xdr:rowOff>57150</xdr:rowOff>
    </xdr:from>
    <xdr:to>
      <xdr:col>11</xdr:col>
      <xdr:colOff>342900</xdr:colOff>
      <xdr:row>215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216</xdr:row>
      <xdr:rowOff>104775</xdr:rowOff>
    </xdr:from>
    <xdr:to>
      <xdr:col>9</xdr:col>
      <xdr:colOff>381000</xdr:colOff>
      <xdr:row>216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showGridLines="0" zoomScaleNormal="100" zoomScaleSheetLayoutView="100" workbookViewId="0">
      <selection activeCell="G3" sqref="G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79">
        <f>+'Patr. (N-1)'!B2+30</f>
        <v>40522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560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SUM(C6:C19)</f>
        <v>789839.81567500602</v>
      </c>
      <c r="D5" s="92" t="s">
        <v>187</v>
      </c>
      <c r="E5" s="93">
        <f>SUM(E6:E19)</f>
        <v>77440.258692808013</v>
      </c>
      <c r="G5" s="277"/>
      <c r="H5" s="277"/>
      <c r="K5" s="92" t="s">
        <v>425</v>
      </c>
      <c r="L5" s="93">
        <f>SUM(L6:L19)</f>
        <v>54331.55999999999</v>
      </c>
      <c r="M5" s="92" t="s">
        <v>187</v>
      </c>
      <c r="N5" s="93">
        <f>SUM(N6:N19)</f>
        <v>-4350.0730000000021</v>
      </c>
    </row>
    <row r="6" spans="1:14">
      <c r="B6" s="99" t="s">
        <v>598</v>
      </c>
      <c r="C6" s="6">
        <f>+Acc!K44+Acc!K46</f>
        <v>328686.11500000005</v>
      </c>
      <c r="D6" s="99"/>
      <c r="E6" s="94"/>
      <c r="K6" s="99" t="s">
        <v>598</v>
      </c>
      <c r="L6" s="6">
        <f>+C6-'Patr. (N-1)'!C6</f>
        <v>57108.81</v>
      </c>
      <c r="M6" s="99"/>
      <c r="N6" s="94"/>
    </row>
    <row r="7" spans="1:14">
      <c r="B7" s="99" t="s">
        <v>599</v>
      </c>
      <c r="C7" s="12">
        <f>+Acc!K45</f>
        <v>59173</v>
      </c>
      <c r="D7" s="99" t="s">
        <v>306</v>
      </c>
      <c r="E7" s="6">
        <f>+'Imp08'!D44</f>
        <v>-0.32400000000006912</v>
      </c>
      <c r="G7" s="12" t="s">
        <v>189</v>
      </c>
      <c r="K7" s="99" t="s">
        <v>599</v>
      </c>
      <c r="L7" s="6">
        <f>+C7-'Patr. (N-1)'!C7</f>
        <v>-2777.2500000000073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1">
        <v>0</v>
      </c>
      <c r="D8" s="413" t="s">
        <v>416</v>
      </c>
      <c r="E8" s="444">
        <f>+'Imp09'!D62</f>
        <v>-0.79927999999108579</v>
      </c>
      <c r="G8" s="263" t="s">
        <v>70</v>
      </c>
      <c r="H8" s="97">
        <f>+C25+C26+C27+C28+C31+C29+C30+C32+C33</f>
        <v>297400</v>
      </c>
      <c r="K8" s="99" t="s">
        <v>203</v>
      </c>
      <c r="L8" s="6">
        <f>+C8-'Patr. (N-1)'!C8</f>
        <v>0</v>
      </c>
      <c r="M8" s="413" t="s">
        <v>416</v>
      </c>
      <c r="N8" s="6">
        <f>+E8-'Patr. (N-1)'!E8</f>
        <v>-4954.9210000000003</v>
      </c>
    </row>
    <row r="9" spans="1:14">
      <c r="B9" s="110" t="s">
        <v>673</v>
      </c>
      <c r="C9" s="660">
        <v>250000</v>
      </c>
      <c r="D9" s="413" t="s">
        <v>595</v>
      </c>
      <c r="E9" s="444">
        <f>+'Imp10'!D62</f>
        <v>46284.881972807998</v>
      </c>
      <c r="G9" s="264" t="s">
        <v>235</v>
      </c>
      <c r="H9" s="6">
        <f>+C21-E21+C22</f>
        <v>193750</v>
      </c>
      <c r="K9" s="110" t="s">
        <v>673</v>
      </c>
      <c r="L9" s="6">
        <f>+C9-'Patr. (N-1)'!C9</f>
        <v>0</v>
      </c>
      <c r="M9" s="413" t="s">
        <v>595</v>
      </c>
      <c r="N9" s="6">
        <f>+E9-'Patr. (N-1)'!E9</f>
        <v>604.84799999999814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387859.11500000005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725</v>
      </c>
      <c r="B11" s="110" t="s">
        <v>777</v>
      </c>
      <c r="C11" s="660">
        <f>1500*4</f>
        <v>6000</v>
      </c>
      <c r="D11" s="99" t="s">
        <v>369</v>
      </c>
      <c r="E11" s="6">
        <f>+Mama!E43</f>
        <v>31156.5</v>
      </c>
      <c r="G11" s="264" t="s">
        <v>166</v>
      </c>
      <c r="H11" s="6">
        <v>0</v>
      </c>
      <c r="K11" s="110" t="s">
        <v>777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+E37-H11-H10-H9-H8</f>
        <v>316716.44198219804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1195725.556982198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453</v>
      </c>
      <c r="C18" s="6">
        <f>Otros!C126</f>
        <v>50000</v>
      </c>
      <c r="D18" s="99"/>
      <c r="E18" s="6"/>
      <c r="G18" s="5"/>
      <c r="H18" s="5"/>
      <c r="K18" s="110" t="s">
        <v>453</v>
      </c>
      <c r="L18" s="6">
        <f>+C18-'Patr. (N-1)'!C18</f>
        <v>0</v>
      </c>
      <c r="M18" s="99"/>
      <c r="N18" s="6">
        <f>+E18-'Patr. (N-1)'!E18</f>
        <v>0</v>
      </c>
    </row>
    <row r="19" spans="1:14" ht="12.6" customHeight="1">
      <c r="B19" s="395"/>
      <c r="C19" s="11"/>
      <c r="D19" s="409"/>
      <c r="E19" s="11"/>
      <c r="G19" s="5"/>
      <c r="H19" s="5"/>
      <c r="K19" s="395"/>
      <c r="L19" s="11"/>
      <c r="M19" s="409"/>
      <c r="N19" s="11"/>
    </row>
    <row r="20" spans="1:14">
      <c r="B20" s="267" t="s">
        <v>50</v>
      </c>
      <c r="C20" s="268">
        <f>C21+C22</f>
        <v>317250</v>
      </c>
      <c r="D20" s="92"/>
      <c r="E20" s="95"/>
      <c r="G20" s="5"/>
      <c r="H20" s="5"/>
      <c r="K20" s="267" t="s">
        <v>50</v>
      </c>
      <c r="L20" s="268">
        <f>L21+L22</f>
        <v>0</v>
      </c>
      <c r="M20" s="92"/>
      <c r="N20" s="95"/>
    </row>
    <row r="21" spans="1:14">
      <c r="B21" s="99" t="s">
        <v>424</v>
      </c>
      <c r="C21" s="94">
        <v>261000</v>
      </c>
      <c r="D21" s="99" t="s">
        <v>52</v>
      </c>
      <c r="E21" s="94">
        <v>123500</v>
      </c>
      <c r="G21" s="5"/>
      <c r="H21" s="5"/>
      <c r="K21" s="99" t="s">
        <v>424</v>
      </c>
      <c r="L21" s="6">
        <f>+C21-'Patr. (N-1)'!C21</f>
        <v>0</v>
      </c>
      <c r="M21" s="99" t="s">
        <v>52</v>
      </c>
      <c r="N21" s="6">
        <f>+E21-'Patr. (N-1)'!E21</f>
        <v>-1500</v>
      </c>
    </row>
    <row r="22" spans="1:14">
      <c r="B22" s="99" t="s">
        <v>333</v>
      </c>
      <c r="C22" s="94">
        <v>56250</v>
      </c>
      <c r="D22" s="99"/>
      <c r="E22" s="94"/>
      <c r="G22" s="5"/>
      <c r="H22" s="5"/>
      <c r="K22" s="99" t="s">
        <v>333</v>
      </c>
      <c r="L22" s="6">
        <f>+C22-'Patr. (N-1)'!C22</f>
        <v>0</v>
      </c>
      <c r="M22" s="99"/>
      <c r="N22" s="94"/>
    </row>
    <row r="23" spans="1:14">
      <c r="B23" s="409"/>
      <c r="C23" s="11"/>
      <c r="D23" s="100"/>
      <c r="E23" s="11"/>
      <c r="G23" s="5"/>
      <c r="H23" s="5"/>
      <c r="K23" s="409"/>
      <c r="L23" s="11"/>
      <c r="M23" s="100"/>
      <c r="N23" s="11"/>
    </row>
    <row r="24" spans="1:14">
      <c r="B24" s="92" t="s">
        <v>177</v>
      </c>
      <c r="C24" s="95">
        <f>SUM(C25:C35)</f>
        <v>297400</v>
      </c>
      <c r="D24" s="92" t="s">
        <v>188</v>
      </c>
      <c r="E24" s="95">
        <f>SUM(E25:E35)</f>
        <v>7824</v>
      </c>
      <c r="G24" s="5"/>
      <c r="H24" s="5"/>
      <c r="K24" s="92" t="s">
        <v>177</v>
      </c>
      <c r="L24" s="95">
        <f>SUM(L25:L35)</f>
        <v>-81400</v>
      </c>
      <c r="M24" s="92" t="s">
        <v>188</v>
      </c>
      <c r="N24" s="95">
        <f>SUM(N25:N35)</f>
        <v>-4100</v>
      </c>
    </row>
    <row r="25" spans="1:14">
      <c r="A25" s="12" t="s">
        <v>725</v>
      </c>
      <c r="B25" s="99" t="s">
        <v>49</v>
      </c>
      <c r="C25" s="94"/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1:14">
      <c r="A26" s="12" t="s">
        <v>725</v>
      </c>
      <c r="B26" s="99" t="s">
        <v>53</v>
      </c>
      <c r="C26" s="94">
        <v>5600</v>
      </c>
      <c r="D26" s="99" t="s">
        <v>726</v>
      </c>
      <c r="E26" s="94">
        <v>2000</v>
      </c>
      <c r="G26" s="5"/>
      <c r="H26" s="5"/>
      <c r="K26" s="99" t="s">
        <v>53</v>
      </c>
      <c r="L26" s="6">
        <f>+C26-'Patr. (N-1)'!C26</f>
        <v>-28600</v>
      </c>
      <c r="M26" s="99" t="s">
        <v>726</v>
      </c>
      <c r="N26" s="6">
        <f>+E26-'Patr. (N-1)'!E26</f>
        <v>0</v>
      </c>
    </row>
    <row r="27" spans="1:14">
      <c r="B27" s="99" t="s">
        <v>785</v>
      </c>
      <c r="C27" s="660">
        <v>0</v>
      </c>
      <c r="D27" s="99" t="s">
        <v>365</v>
      </c>
      <c r="E27" s="94">
        <v>1000</v>
      </c>
      <c r="G27" s="5"/>
      <c r="H27" s="5"/>
      <c r="K27" s="99" t="s">
        <v>54</v>
      </c>
      <c r="L27" s="6">
        <f>+C27-'Patr. (N-1)'!C27</f>
        <v>-40300</v>
      </c>
      <c r="M27" s="99" t="s">
        <v>365</v>
      </c>
      <c r="N27" s="6">
        <f>+E27-'Patr. (N-1)'!E27</f>
        <v>0</v>
      </c>
    </row>
    <row r="28" spans="1:14">
      <c r="B28" s="99" t="s">
        <v>55</v>
      </c>
      <c r="C28" s="94">
        <v>0</v>
      </c>
      <c r="D28" s="99" t="s">
        <v>456</v>
      </c>
      <c r="E28" s="276">
        <v>0</v>
      </c>
      <c r="G28" s="5"/>
      <c r="K28" s="99" t="s">
        <v>55</v>
      </c>
      <c r="L28" s="6">
        <f>+C28-'Patr. (N-1)'!C28</f>
        <v>0</v>
      </c>
      <c r="M28" s="99" t="s">
        <v>456</v>
      </c>
      <c r="N28" s="6">
        <f>+E28-'Patr. (N-1)'!E28</f>
        <v>0</v>
      </c>
    </row>
    <row r="29" spans="1:14">
      <c r="B29" s="99" t="s">
        <v>623</v>
      </c>
      <c r="C29" s="6">
        <f>+'Banque Pop'!H21</f>
        <v>3000</v>
      </c>
      <c r="D29" s="99" t="s">
        <v>730</v>
      </c>
      <c r="E29" s="94">
        <v>0</v>
      </c>
      <c r="G29" s="5"/>
      <c r="K29" s="99" t="s">
        <v>623</v>
      </c>
      <c r="L29" s="6">
        <f>+C29-'Patr. (N-1)'!C29</f>
        <v>0</v>
      </c>
      <c r="M29" s="99" t="s">
        <v>730</v>
      </c>
      <c r="N29" s="6">
        <f>+E29-'Patr. (N-1)'!E29</f>
        <v>-1500</v>
      </c>
    </row>
    <row r="30" spans="1:14">
      <c r="B30" s="99" t="s">
        <v>621</v>
      </c>
      <c r="C30" s="6">
        <f>+'Banque Pop'!H22</f>
        <v>139700</v>
      </c>
      <c r="D30" s="99" t="s">
        <v>191</v>
      </c>
      <c r="E30" s="94">
        <v>1000</v>
      </c>
      <c r="G30" s="5"/>
      <c r="K30" s="99" t="s">
        <v>621</v>
      </c>
      <c r="L30" s="6">
        <f>+C30-'Patr. (N-1)'!C30</f>
        <v>0</v>
      </c>
      <c r="M30" s="99" t="s">
        <v>191</v>
      </c>
      <c r="N30" s="6">
        <f>+E30-'Patr. (N-1)'!E30</f>
        <v>500</v>
      </c>
    </row>
    <row r="31" spans="1:14">
      <c r="B31" s="99" t="s">
        <v>320</v>
      </c>
      <c r="C31" s="6">
        <f>+'Banque Pop'!H23</f>
        <v>95000</v>
      </c>
      <c r="D31" s="99" t="s">
        <v>282</v>
      </c>
      <c r="E31" s="94">
        <v>0</v>
      </c>
      <c r="K31" s="99" t="s">
        <v>320</v>
      </c>
      <c r="L31" s="6">
        <f>+C31-'Patr. (N-1)'!C31</f>
        <v>0</v>
      </c>
      <c r="M31" s="99" t="s">
        <v>282</v>
      </c>
      <c r="N31" s="6">
        <f>+E31-'Patr. (N-1)'!E31</f>
        <v>-3100</v>
      </c>
    </row>
    <row r="32" spans="1:14">
      <c r="B32" s="99" t="s">
        <v>622</v>
      </c>
      <c r="C32" s="6">
        <f>+'Banque Pop'!H24</f>
        <v>25100</v>
      </c>
      <c r="D32" s="99" t="s">
        <v>152</v>
      </c>
      <c r="E32" s="94">
        <v>1000</v>
      </c>
      <c r="K32" s="99" t="s">
        <v>622</v>
      </c>
      <c r="L32" s="6">
        <f>+C32-'Patr. (N-1)'!C32</f>
        <v>-12500</v>
      </c>
      <c r="M32" s="99" t="s">
        <v>152</v>
      </c>
      <c r="N32" s="6">
        <f>+E32-'Patr. (N-1)'!E32</f>
        <v>0</v>
      </c>
    </row>
    <row r="33" spans="2:14">
      <c r="B33" s="799" t="s">
        <v>787</v>
      </c>
      <c r="C33" s="6">
        <f>+'Banque Pop'!H25</f>
        <v>29000</v>
      </c>
      <c r="D33" s="99" t="s">
        <v>629</v>
      </c>
      <c r="E33" s="94">
        <v>0</v>
      </c>
      <c r="K33" s="110" t="s">
        <v>624</v>
      </c>
      <c r="L33" s="6">
        <f>+C33-'Patr. (N-1)'!C33</f>
        <v>0</v>
      </c>
      <c r="M33" s="99" t="s">
        <v>629</v>
      </c>
      <c r="N33" s="6">
        <f>+E33-'Patr. (N-1)'!E33</f>
        <v>0</v>
      </c>
    </row>
    <row r="34" spans="2:14">
      <c r="B34" s="110"/>
      <c r="C34" s="94"/>
      <c r="D34" s="99" t="s">
        <v>630</v>
      </c>
      <c r="E34" s="94">
        <f>14000-7176-1000-3000</f>
        <v>2824</v>
      </c>
      <c r="K34" s="110"/>
      <c r="L34" s="94"/>
      <c r="M34" s="99" t="s">
        <v>630</v>
      </c>
      <c r="N34" s="6">
        <f>+E34-'Patr. (N-1)'!E34</f>
        <v>0</v>
      </c>
    </row>
    <row r="35" spans="2:14">
      <c r="B35" s="266"/>
      <c r="C35" s="11"/>
      <c r="D35" s="99"/>
      <c r="E35" s="94"/>
      <c r="K35" s="266"/>
      <c r="L35" s="11"/>
      <c r="M35" s="99"/>
      <c r="N35" s="94"/>
    </row>
    <row r="36" spans="2:14">
      <c r="B36" s="101" t="s">
        <v>18</v>
      </c>
      <c r="C36" s="13">
        <f>+C24+C20+C5</f>
        <v>1404489.815675006</v>
      </c>
      <c r="D36" s="101" t="s">
        <v>18</v>
      </c>
      <c r="E36" s="13">
        <f>+E24+E21+E5</f>
        <v>208764.25869280801</v>
      </c>
      <c r="K36" s="101" t="s">
        <v>18</v>
      </c>
      <c r="L36" s="13">
        <f>+L24+L20+L5</f>
        <v>-27068.44000000001</v>
      </c>
      <c r="M36" s="101" t="s">
        <v>18</v>
      </c>
      <c r="N36" s="13">
        <f>+N24+N21+N5</f>
        <v>-9950.0730000000021</v>
      </c>
    </row>
    <row r="37" spans="2:14">
      <c r="B37" s="102"/>
      <c r="D37" s="196" t="s">
        <v>178</v>
      </c>
      <c r="E37" s="245">
        <f>+C36-E36</f>
        <v>1195725.556982198</v>
      </c>
      <c r="K37" s="102"/>
      <c r="M37" s="196" t="s">
        <v>178</v>
      </c>
      <c r="N37" s="245">
        <f>+L36-N36</f>
        <v>-17118.367000000006</v>
      </c>
    </row>
    <row r="38" spans="2:14">
      <c r="B38" s="102"/>
      <c r="D38" s="196" t="s">
        <v>423</v>
      </c>
      <c r="E38" s="245">
        <f>+E37-C22-C15+E10+E11</f>
        <v>1144651.356307192</v>
      </c>
      <c r="F38" s="211" t="s">
        <v>594</v>
      </c>
      <c r="K38" s="102"/>
      <c r="M38" s="196" t="s">
        <v>423</v>
      </c>
      <c r="N38" s="245">
        <f>+N37-L22-L15</f>
        <v>-17118.367000000006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3"/>
      <c r="C41" s="5"/>
      <c r="D41" s="5"/>
      <c r="E41" s="5"/>
      <c r="F41" s="6"/>
    </row>
    <row r="42" spans="2:14">
      <c r="B42" s="573" t="s">
        <v>57</v>
      </c>
      <c r="C42" s="5"/>
      <c r="D42" s="5"/>
      <c r="E42" s="5"/>
      <c r="F42" s="6"/>
    </row>
    <row r="43" spans="2:14">
      <c r="B43" s="573" t="s">
        <v>421</v>
      </c>
      <c r="C43" s="5">
        <v>81137</v>
      </c>
      <c r="D43" s="445"/>
      <c r="E43" s="5"/>
      <c r="F43" s="6"/>
    </row>
    <row r="44" spans="2:14">
      <c r="B44" s="573" t="s">
        <v>651</v>
      </c>
      <c r="C44" s="5">
        <v>200000</v>
      </c>
      <c r="D44" s="5" t="s">
        <v>652</v>
      </c>
      <c r="E44" s="5"/>
      <c r="F44" s="6"/>
    </row>
    <row r="45" spans="2:14">
      <c r="B45" s="92" t="s">
        <v>419</v>
      </c>
      <c r="C45" s="60"/>
      <c r="D45" s="60"/>
      <c r="E45" s="60"/>
      <c r="F45" s="97"/>
    </row>
    <row r="46" spans="2:14">
      <c r="B46" s="409" t="s">
        <v>608</v>
      </c>
      <c r="C46" s="10">
        <v>200000</v>
      </c>
      <c r="D46" s="10" t="s">
        <v>422</v>
      </c>
      <c r="E46" s="10"/>
      <c r="F46" s="11"/>
    </row>
    <row r="47" spans="2:14">
      <c r="B47" s="92" t="s">
        <v>420</v>
      </c>
      <c r="C47" s="60"/>
      <c r="D47" s="60"/>
      <c r="E47" s="60"/>
      <c r="F47" s="97"/>
    </row>
    <row r="48" spans="2:14">
      <c r="B48" s="99" t="s">
        <v>562</v>
      </c>
      <c r="C48" s="5">
        <f>+retraite!D13</f>
        <v>17669.490000000002</v>
      </c>
      <c r="D48" s="5" t="s">
        <v>586</v>
      </c>
      <c r="E48" s="5"/>
      <c r="F48" s="6"/>
    </row>
    <row r="49" spans="2:6">
      <c r="B49" s="99" t="s">
        <v>584</v>
      </c>
      <c r="C49" s="5">
        <f>+retraite!D24</f>
        <v>45248.74</v>
      </c>
      <c r="D49" s="5" t="s">
        <v>586</v>
      </c>
      <c r="E49" s="5"/>
      <c r="F49" s="6"/>
    </row>
    <row r="50" spans="2:6">
      <c r="B50" s="99" t="s">
        <v>585</v>
      </c>
      <c r="C50" s="5">
        <f>+E.Salariale!H119</f>
        <v>21966.560000000001</v>
      </c>
      <c r="D50" s="5" t="s">
        <v>587</v>
      </c>
      <c r="E50" s="5"/>
      <c r="F50" s="6"/>
    </row>
    <row r="51" spans="2:6">
      <c r="B51" s="99" t="s">
        <v>604</v>
      </c>
      <c r="C51" s="5">
        <v>3156</v>
      </c>
      <c r="D51" s="5"/>
      <c r="E51" s="5"/>
      <c r="F51" s="6"/>
    </row>
    <row r="52" spans="2:6">
      <c r="B52" s="409"/>
      <c r="C52" s="10"/>
      <c r="D52" s="10"/>
      <c r="E52" s="10"/>
      <c r="F52" s="11"/>
    </row>
    <row r="54" spans="2:6">
      <c r="E54" s="393" t="s">
        <v>300</v>
      </c>
      <c r="F54" s="394">
        <f>+C5+C24-E36-C16-C14-C17-C7</f>
        <v>749302.55698219803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workbookViewId="0">
      <selection activeCell="A20" sqref="A20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0" t="s">
        <v>656</v>
      </c>
      <c r="C2" s="651">
        <v>0.185</v>
      </c>
      <c r="D2" s="1" t="s">
        <v>729</v>
      </c>
    </row>
    <row r="4" spans="2:11">
      <c r="B4" s="21" t="s">
        <v>427</v>
      </c>
      <c r="C4" s="217" t="s">
        <v>627</v>
      </c>
      <c r="D4" s="387" t="s">
        <v>348</v>
      </c>
    </row>
    <row r="5" spans="2:11">
      <c r="B5" s="205" t="s">
        <v>335</v>
      </c>
      <c r="C5" s="60">
        <v>12928.04</v>
      </c>
      <c r="D5" s="97">
        <f t="shared" ref="D5:D16" si="0">C5*$C$2</f>
        <v>2391.6874000000003</v>
      </c>
      <c r="K5" s="656">
        <v>12928.04</v>
      </c>
    </row>
    <row r="6" spans="2:11">
      <c r="B6" s="206" t="s">
        <v>668</v>
      </c>
      <c r="C6" s="5">
        <v>14980.13</v>
      </c>
      <c r="D6" s="6">
        <f t="shared" si="0"/>
        <v>2771.3240499999997</v>
      </c>
      <c r="K6" s="657">
        <v>14980.13</v>
      </c>
    </row>
    <row r="7" spans="2:11">
      <c r="B7" s="206" t="s">
        <v>336</v>
      </c>
      <c r="C7" s="5">
        <v>13199.34</v>
      </c>
      <c r="D7" s="6">
        <f t="shared" si="0"/>
        <v>2441.8779</v>
      </c>
      <c r="K7" s="657">
        <v>13199.34</v>
      </c>
    </row>
    <row r="8" spans="2:11">
      <c r="B8" s="206" t="s">
        <v>669</v>
      </c>
      <c r="C8" s="5">
        <v>13199.34</v>
      </c>
      <c r="D8" s="6">
        <f t="shared" si="0"/>
        <v>2441.8779</v>
      </c>
      <c r="K8" s="658">
        <v>13199.34</v>
      </c>
    </row>
    <row r="9" spans="2:11">
      <c r="B9" s="206" t="s">
        <v>626</v>
      </c>
      <c r="C9" s="5">
        <v>614613.33363679994</v>
      </c>
      <c r="D9" s="6">
        <f t="shared" si="0"/>
        <v>113703.46672280799</v>
      </c>
      <c r="E9" s="21" t="s">
        <v>628</v>
      </c>
      <c r="F9" s="1" t="s">
        <v>728</v>
      </c>
    </row>
    <row r="10" spans="2:11">
      <c r="B10" s="206" t="s">
        <v>340</v>
      </c>
      <c r="C10" s="5"/>
      <c r="D10" s="6">
        <f t="shared" si="0"/>
        <v>0</v>
      </c>
    </row>
    <row r="11" spans="2:11">
      <c r="B11" s="206" t="s">
        <v>341</v>
      </c>
      <c r="C11" s="5"/>
      <c r="D11" s="6">
        <f t="shared" si="0"/>
        <v>0</v>
      </c>
    </row>
    <row r="12" spans="2:11">
      <c r="B12" s="206" t="s">
        <v>342</v>
      </c>
      <c r="C12" s="5"/>
      <c r="D12" s="6">
        <f t="shared" si="0"/>
        <v>0</v>
      </c>
    </row>
    <row r="13" spans="2:11">
      <c r="B13" s="206" t="s">
        <v>343</v>
      </c>
      <c r="C13" s="5"/>
      <c r="D13" s="6">
        <f t="shared" si="0"/>
        <v>0</v>
      </c>
      <c r="G13" s="803"/>
    </row>
    <row r="14" spans="2:11">
      <c r="B14" s="206" t="s">
        <v>344</v>
      </c>
      <c r="C14" s="5">
        <v>1929.8</v>
      </c>
      <c r="D14" s="6">
        <f t="shared" si="0"/>
        <v>357.01299999999998</v>
      </c>
      <c r="G14" s="803"/>
    </row>
    <row r="15" spans="2:11">
      <c r="B15" s="206" t="s">
        <v>345</v>
      </c>
      <c r="C15" s="5">
        <v>5982</v>
      </c>
      <c r="D15" s="6">
        <f t="shared" si="0"/>
        <v>1106.67</v>
      </c>
      <c r="G15" s="803"/>
    </row>
    <row r="16" spans="2:11">
      <c r="B16" s="207" t="s">
        <v>346</v>
      </c>
      <c r="C16" s="5">
        <v>5789</v>
      </c>
      <c r="D16" s="6">
        <f t="shared" si="0"/>
        <v>1070.9649999999999</v>
      </c>
      <c r="G16" s="545"/>
    </row>
    <row r="17" spans="1:5" ht="12" customHeight="1">
      <c r="A17" s="653" t="s">
        <v>81</v>
      </c>
      <c r="B17" s="412" t="s">
        <v>18</v>
      </c>
      <c r="C17" s="185">
        <f>SUM(C5:C16)</f>
        <v>682620.98363679997</v>
      </c>
      <c r="D17" s="13">
        <f>SUM(D5:D16)</f>
        <v>126284.881972808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653</v>
      </c>
      <c r="C19" s="217"/>
      <c r="D19" s="387"/>
      <c r="E19" s="12"/>
    </row>
    <row r="20" spans="1:5">
      <c r="A20" s="21"/>
      <c r="B20" s="205" t="s">
        <v>655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7" t="s">
        <v>431</v>
      </c>
      <c r="C21" s="652">
        <v>0</v>
      </c>
      <c r="D21" s="11">
        <f t="shared" si="1"/>
        <v>0</v>
      </c>
      <c r="E21" s="12"/>
    </row>
    <row r="22" spans="1:5">
      <c r="A22" s="653" t="s">
        <v>83</v>
      </c>
      <c r="B22" s="412"/>
      <c r="C22" s="185">
        <f>SUM(C20:C21)</f>
        <v>0</v>
      </c>
      <c r="D22" s="13">
        <f>SUM(D20:D21)</f>
        <v>0</v>
      </c>
      <c r="E22" s="12"/>
    </row>
    <row r="23" spans="1:5">
      <c r="A23" s="653"/>
      <c r="B23" s="3"/>
      <c r="C23" s="5"/>
      <c r="D23" s="5"/>
      <c r="E23" s="12"/>
    </row>
    <row r="24" spans="1:5">
      <c r="A24" s="653" t="s">
        <v>659</v>
      </c>
      <c r="B24" s="412" t="s">
        <v>658</v>
      </c>
      <c r="C24" s="185">
        <f>+C22+C17</f>
        <v>682620.98363679997</v>
      </c>
      <c r="D24" s="13">
        <f>+D22+D17</f>
        <v>126284.881972808</v>
      </c>
      <c r="E24" s="12"/>
    </row>
    <row r="25" spans="1:5">
      <c r="B25" s="3"/>
      <c r="C25" s="5"/>
      <c r="D25" s="5"/>
      <c r="E25" s="5"/>
    </row>
    <row r="26" spans="1:5">
      <c r="A26" s="653" t="s">
        <v>660</v>
      </c>
      <c r="B26" s="412" t="s">
        <v>429</v>
      </c>
      <c r="C26" s="87">
        <v>0</v>
      </c>
      <c r="D26" s="13">
        <f>+C26*E26</f>
        <v>0</v>
      </c>
      <c r="E26" s="654">
        <v>0.18</v>
      </c>
    </row>
    <row r="27" spans="1:5">
      <c r="B27" s="3"/>
      <c r="C27" s="5"/>
      <c r="D27" s="5"/>
    </row>
    <row r="28" spans="1:5">
      <c r="A28" s="653" t="s">
        <v>661</v>
      </c>
      <c r="B28" s="412" t="s">
        <v>434</v>
      </c>
      <c r="C28" s="185"/>
      <c r="D28" s="13">
        <f>+D26+D24</f>
        <v>126284.881972808</v>
      </c>
    </row>
    <row r="29" spans="1:5">
      <c r="B29" s="3"/>
      <c r="C29" s="5"/>
      <c r="D29" s="5"/>
    </row>
    <row r="30" spans="1:5">
      <c r="B30" s="412" t="s">
        <v>432</v>
      </c>
      <c r="C30" s="5"/>
      <c r="D30" s="5"/>
    </row>
    <row r="31" spans="1:5">
      <c r="B31" s="3"/>
      <c r="C31" s="5"/>
      <c r="D31" s="5"/>
    </row>
    <row r="32" spans="1:5">
      <c r="B32" s="558" t="s">
        <v>529</v>
      </c>
      <c r="C32" s="559"/>
      <c r="D32" s="560"/>
    </row>
    <row r="33" spans="1:5">
      <c r="A33" s="308">
        <v>1.25</v>
      </c>
      <c r="B33" s="206" t="s">
        <v>526</v>
      </c>
      <c r="C33" s="55">
        <v>64000</v>
      </c>
      <c r="D33" s="6">
        <f>+A33*C33</f>
        <v>80000</v>
      </c>
    </row>
    <row r="34" spans="1:5">
      <c r="A34" s="308">
        <v>0.97</v>
      </c>
      <c r="B34" s="206" t="s">
        <v>527</v>
      </c>
      <c r="C34" s="55">
        <v>0</v>
      </c>
      <c r="D34" s="6">
        <f>+A34*C34</f>
        <v>0</v>
      </c>
    </row>
    <row r="35" spans="1:5">
      <c r="A35" s="308"/>
      <c r="B35" s="207" t="s">
        <v>530</v>
      </c>
      <c r="C35" s="72">
        <v>0</v>
      </c>
      <c r="D35" s="11">
        <f>SUM(D33:D34)</f>
        <v>80000</v>
      </c>
    </row>
    <row r="36" spans="1:5">
      <c r="A36" s="308"/>
      <c r="B36" s="558" t="s">
        <v>531</v>
      </c>
      <c r="C36" s="559"/>
      <c r="D36" s="560"/>
    </row>
    <row r="37" spans="1:5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5">
      <c r="A38" s="308">
        <v>0.25</v>
      </c>
      <c r="B38" s="206" t="s">
        <v>524</v>
      </c>
      <c r="C38" s="5">
        <v>0</v>
      </c>
      <c r="D38" s="6">
        <f>+A38*C38</f>
        <v>0</v>
      </c>
    </row>
    <row r="39" spans="1:5">
      <c r="A39" s="308">
        <v>0.25</v>
      </c>
      <c r="B39" s="206" t="s">
        <v>528</v>
      </c>
      <c r="C39" s="5">
        <v>0</v>
      </c>
      <c r="D39" s="6">
        <f>+A39*C39</f>
        <v>0</v>
      </c>
    </row>
    <row r="40" spans="1:5">
      <c r="A40" s="308"/>
      <c r="B40" s="207" t="s">
        <v>530</v>
      </c>
      <c r="C40" s="72">
        <f>SUM(C37:C39)</f>
        <v>0</v>
      </c>
      <c r="D40" s="11">
        <f>SUM(D37:D39)</f>
        <v>0</v>
      </c>
    </row>
    <row r="41" spans="1:5">
      <c r="A41" s="653" t="s">
        <v>664</v>
      </c>
      <c r="B41" s="412" t="s">
        <v>18</v>
      </c>
      <c r="C41" s="185">
        <f>+C35+C40</f>
        <v>0</v>
      </c>
      <c r="D41" s="13">
        <f>+D35+D40</f>
        <v>80000</v>
      </c>
    </row>
    <row r="42" spans="1:5">
      <c r="B42" s="3"/>
      <c r="C42" s="5"/>
      <c r="D42" s="5"/>
    </row>
    <row r="43" spans="1:5">
      <c r="A43" s="653" t="s">
        <v>665</v>
      </c>
      <c r="B43" s="412" t="s">
        <v>662</v>
      </c>
      <c r="C43" s="87"/>
      <c r="D43" s="655">
        <v>0</v>
      </c>
      <c r="E43" s="1" t="s">
        <v>663</v>
      </c>
    </row>
    <row r="44" spans="1:5">
      <c r="B44" s="3"/>
      <c r="C44" s="5"/>
      <c r="D44" s="5"/>
    </row>
    <row r="45" spans="1:5">
      <c r="A45" s="653" t="s">
        <v>666</v>
      </c>
      <c r="B45" s="446" t="s">
        <v>654</v>
      </c>
      <c r="C45" s="197"/>
      <c r="D45" s="296">
        <f>+D28-D41-D43</f>
        <v>46284.881972807998</v>
      </c>
      <c r="E45" s="12"/>
    </row>
    <row r="47" spans="1:5">
      <c r="B47" s="650" t="s">
        <v>657</v>
      </c>
      <c r="C47" s="651">
        <f>3.4%+8.2%+0.5%</f>
        <v>0.121</v>
      </c>
    </row>
    <row r="49" spans="1:5">
      <c r="B49" s="205" t="s">
        <v>429</v>
      </c>
      <c r="C49" s="60">
        <f>+C26</f>
        <v>0</v>
      </c>
      <c r="D49" s="97">
        <f>+C49*$C$47</f>
        <v>0</v>
      </c>
    </row>
    <row r="50" spans="1:5">
      <c r="B50" s="206" t="s">
        <v>430</v>
      </c>
      <c r="C50" s="5">
        <f>+C20</f>
        <v>0</v>
      </c>
      <c r="D50" s="6">
        <f t="shared" ref="D50:D51" si="2">+C50*$C$47</f>
        <v>0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53" t="s">
        <v>667</v>
      </c>
      <c r="B52" s="446" t="s">
        <v>435</v>
      </c>
      <c r="C52" s="450"/>
      <c r="D52" s="13">
        <f>SUM(D49:D51)</f>
        <v>0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0</v>
      </c>
      <c r="E54" s="1" t="s">
        <v>436</v>
      </c>
    </row>
    <row r="55" spans="1:5">
      <c r="B55" s="206" t="s">
        <v>411</v>
      </c>
      <c r="C55" s="5"/>
      <c r="D55" s="94">
        <v>0</v>
      </c>
      <c r="E55" s="1" t="s">
        <v>437</v>
      </c>
    </row>
    <row r="56" spans="1:5">
      <c r="B56" s="207" t="s">
        <v>412</v>
      </c>
      <c r="C56" s="127"/>
      <c r="D56" s="443">
        <v>0</v>
      </c>
      <c r="E56" s="1" t="s">
        <v>733</v>
      </c>
    </row>
    <row r="57" spans="1:5">
      <c r="B57" s="412" t="s">
        <v>413</v>
      </c>
      <c r="C57" s="119"/>
      <c r="D57" s="13">
        <f>SUM(D54:D56)</f>
        <v>0</v>
      </c>
    </row>
    <row r="58" spans="1:5">
      <c r="B58" s="207" t="s">
        <v>441</v>
      </c>
      <c r="C58" s="127"/>
      <c r="D58" s="443">
        <v>0</v>
      </c>
      <c r="E58" s="1" t="s">
        <v>520</v>
      </c>
    </row>
    <row r="60" spans="1:5">
      <c r="B60" s="205" t="s">
        <v>439</v>
      </c>
      <c r="C60" s="120"/>
      <c r="D60" s="97">
        <f>+D45-D57</f>
        <v>46284.881972807998</v>
      </c>
    </row>
    <row r="61" spans="1:5">
      <c r="B61" s="207" t="s">
        <v>440</v>
      </c>
      <c r="C61" s="9"/>
      <c r="D61" s="11">
        <f>+D52-D58</f>
        <v>0</v>
      </c>
    </row>
    <row r="62" spans="1:5">
      <c r="B62" s="412" t="s">
        <v>414</v>
      </c>
      <c r="C62" s="119"/>
      <c r="D62" s="13">
        <f>+D60+D61</f>
        <v>46284.881972807998</v>
      </c>
    </row>
    <row r="63" spans="1:5">
      <c r="B63" s="3"/>
    </row>
    <row r="65" spans="2:5">
      <c r="B65" s="1" t="s">
        <v>358</v>
      </c>
    </row>
    <row r="66" spans="2:5">
      <c r="B66" s="421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9" t="s">
        <v>350</v>
      </c>
      <c r="C68" s="127"/>
      <c r="D68" s="422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34"/>
  <sheetViews>
    <sheetView topLeftCell="A110" workbookViewId="0">
      <selection activeCell="G132" sqref="G132"/>
    </sheetView>
  </sheetViews>
  <sheetFormatPr baseColWidth="10" defaultRowHeight="12.75"/>
  <cols>
    <col min="2" max="2" width="11.42578125" style="128"/>
  </cols>
  <sheetData>
    <row r="2" spans="1:5">
      <c r="A2" s="398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8">
        <v>39670</v>
      </c>
    </row>
    <row r="7" spans="1:5">
      <c r="B7" s="399">
        <f>-12.5*4500</f>
        <v>-56250</v>
      </c>
      <c r="C7" s="133" t="s">
        <v>322</v>
      </c>
      <c r="D7" s="133"/>
      <c r="E7" s="134"/>
    </row>
    <row r="8" spans="1:5">
      <c r="B8" s="400">
        <v>3000</v>
      </c>
      <c r="C8" s="401" t="s">
        <v>323</v>
      </c>
      <c r="D8" s="401"/>
      <c r="E8" s="138"/>
    </row>
    <row r="9" spans="1:5">
      <c r="B9" s="400">
        <f>3000*3</f>
        <v>9000</v>
      </c>
      <c r="C9" s="401" t="s">
        <v>324</v>
      </c>
      <c r="D9" s="401"/>
      <c r="E9" s="138"/>
    </row>
    <row r="10" spans="1:5">
      <c r="B10" s="400">
        <v>2200</v>
      </c>
      <c r="C10" s="401" t="s">
        <v>325</v>
      </c>
      <c r="D10" s="401"/>
      <c r="E10" s="138"/>
    </row>
    <row r="11" spans="1:5">
      <c r="B11" s="402">
        <f>SUM(B7:B10)</f>
        <v>-42050</v>
      </c>
      <c r="C11" s="403" t="s">
        <v>326</v>
      </c>
      <c r="D11" s="403"/>
      <c r="E11" s="152"/>
    </row>
    <row r="12" spans="1:5">
      <c r="B12" s="405">
        <v>6000</v>
      </c>
      <c r="C12" s="406" t="s">
        <v>327</v>
      </c>
      <c r="D12" s="133"/>
      <c r="E12" s="134"/>
    </row>
    <row r="13" spans="1:5">
      <c r="B13" s="407">
        <v>7500</v>
      </c>
      <c r="C13" s="404" t="s">
        <v>328</v>
      </c>
      <c r="D13" s="401"/>
      <c r="E13" s="138"/>
    </row>
    <row r="14" spans="1:5">
      <c r="B14" s="407">
        <v>13440</v>
      </c>
      <c r="C14" s="404" t="s">
        <v>329</v>
      </c>
      <c r="D14" s="401"/>
      <c r="E14" s="138"/>
    </row>
    <row r="15" spans="1:5">
      <c r="B15" s="402">
        <f>SUM(B12:B14)</f>
        <v>26940</v>
      </c>
      <c r="C15" s="408" t="s">
        <v>330</v>
      </c>
      <c r="D15" s="403"/>
      <c r="E15" s="152"/>
    </row>
    <row r="16" spans="1:5">
      <c r="B16" s="128">
        <v>-6000</v>
      </c>
      <c r="C16" s="404" t="s">
        <v>332</v>
      </c>
    </row>
    <row r="17" spans="1:6">
      <c r="B17" s="128">
        <f>7000</f>
        <v>7000</v>
      </c>
      <c r="C17" s="404" t="s">
        <v>331</v>
      </c>
    </row>
    <row r="19" spans="1:6">
      <c r="A19" s="398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4" t="s">
        <v>331</v>
      </c>
      <c r="F22" s="128"/>
    </row>
    <row r="23" spans="1:6">
      <c r="F23" s="128"/>
    </row>
    <row r="24" spans="1:6">
      <c r="F24" s="128"/>
    </row>
    <row r="25" spans="1:6">
      <c r="A25" s="398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8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8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8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8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42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8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8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8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8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8">
        <v>40096</v>
      </c>
      <c r="C84" t="s">
        <v>514</v>
      </c>
    </row>
    <row r="85" spans="1:6">
      <c r="C85" t="s">
        <v>515</v>
      </c>
    </row>
    <row r="88" spans="1:6">
      <c r="A88" s="398">
        <v>40127</v>
      </c>
      <c r="C88" t="s">
        <v>517</v>
      </c>
      <c r="F88">
        <v>-6000</v>
      </c>
    </row>
    <row r="89" spans="1:6">
      <c r="C89" t="s">
        <v>518</v>
      </c>
      <c r="F89">
        <v>12000</v>
      </c>
    </row>
    <row r="90" spans="1:6">
      <c r="C90" t="s">
        <v>519</v>
      </c>
      <c r="F90">
        <v>-5000</v>
      </c>
    </row>
    <row r="91" spans="1:6">
      <c r="C91" t="s">
        <v>525</v>
      </c>
      <c r="F91">
        <v>8000</v>
      </c>
    </row>
    <row r="94" spans="1:6">
      <c r="A94" s="398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>
        <v>1000</v>
      </c>
    </row>
    <row r="97" spans="1:6">
      <c r="B97" s="128">
        <v>34700</v>
      </c>
      <c r="C97" t="s">
        <v>545</v>
      </c>
      <c r="F97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>
        <v>8000</v>
      </c>
    </row>
    <row r="100" spans="1:6">
      <c r="C100" t="s">
        <v>547</v>
      </c>
      <c r="F100">
        <f>28000*0.25</f>
        <v>7000</v>
      </c>
    </row>
    <row r="101" spans="1:6">
      <c r="C101" t="s">
        <v>548</v>
      </c>
      <c r="F101">
        <f>6000*0.48-F91</f>
        <v>-5120</v>
      </c>
    </row>
    <row r="102" spans="1:6">
      <c r="C102" t="s">
        <v>550</v>
      </c>
      <c r="F102">
        <v>-1800</v>
      </c>
    </row>
    <row r="105" spans="1:6">
      <c r="A105" s="398">
        <v>40188</v>
      </c>
      <c r="C105" t="s">
        <v>588</v>
      </c>
    </row>
    <row r="106" spans="1:6">
      <c r="C106" t="s">
        <v>589</v>
      </c>
    </row>
    <row r="107" spans="1:6">
      <c r="C107" t="s">
        <v>590</v>
      </c>
      <c r="F107">
        <v>-7000</v>
      </c>
    </row>
    <row r="108" spans="1:6">
      <c r="C108" t="s">
        <v>591</v>
      </c>
    </row>
    <row r="109" spans="1:6">
      <c r="C109" t="s">
        <v>592</v>
      </c>
    </row>
    <row r="113" spans="1:6">
      <c r="A113" s="398">
        <v>40308</v>
      </c>
      <c r="C113" s="609" t="s">
        <v>606</v>
      </c>
      <c r="F113" s="128">
        <v>-24800</v>
      </c>
    </row>
    <row r="114" spans="1:6">
      <c r="C114" s="609" t="s">
        <v>607</v>
      </c>
      <c r="F114" s="128">
        <v>-7000</v>
      </c>
    </row>
    <row r="115" spans="1:6">
      <c r="C115" s="610" t="s">
        <v>631</v>
      </c>
      <c r="F115" s="128">
        <v>614000</v>
      </c>
    </row>
    <row r="116" spans="1:6">
      <c r="C116" s="610" t="s">
        <v>632</v>
      </c>
      <c r="F116" s="128">
        <v>-156000</v>
      </c>
    </row>
    <row r="117" spans="1:6">
      <c r="C117" s="610" t="s">
        <v>630</v>
      </c>
      <c r="F117" s="128">
        <v>-14000</v>
      </c>
    </row>
    <row r="120" spans="1:6">
      <c r="A120" s="398">
        <v>40339</v>
      </c>
      <c r="C120" t="s">
        <v>649</v>
      </c>
      <c r="F120" s="128">
        <v>-7176</v>
      </c>
    </row>
    <row r="121" spans="1:6">
      <c r="C121" t="s">
        <v>650</v>
      </c>
      <c r="F121" s="128">
        <v>-2000</v>
      </c>
    </row>
    <row r="122" spans="1:6">
      <c r="C122" s="659" t="s">
        <v>670</v>
      </c>
      <c r="F122" s="128">
        <v>18000</v>
      </c>
    </row>
    <row r="123" spans="1:6">
      <c r="C123" s="659" t="s">
        <v>671</v>
      </c>
      <c r="F123" s="128">
        <v>-6000</v>
      </c>
    </row>
    <row r="125" spans="1:6">
      <c r="A125" s="398">
        <v>40461</v>
      </c>
      <c r="C125" s="659" t="s">
        <v>724</v>
      </c>
      <c r="F125" s="128">
        <v>0</v>
      </c>
    </row>
    <row r="126" spans="1:6">
      <c r="C126" s="659" t="s">
        <v>732</v>
      </c>
      <c r="F126" s="128">
        <v>13500</v>
      </c>
    </row>
    <row r="127" spans="1:6">
      <c r="C127" s="659" t="s">
        <v>727</v>
      </c>
      <c r="F127">
        <v>0</v>
      </c>
    </row>
    <row r="128" spans="1:6">
      <c r="C128" s="659" t="s">
        <v>731</v>
      </c>
      <c r="F128">
        <v>-2000</v>
      </c>
    </row>
    <row r="130" spans="1:6">
      <c r="A130" s="398">
        <v>40461</v>
      </c>
      <c r="C130" s="659" t="s">
        <v>778</v>
      </c>
      <c r="F130" s="128">
        <v>2800</v>
      </c>
    </row>
    <row r="131" spans="1:6">
      <c r="C131" s="659" t="s">
        <v>779</v>
      </c>
      <c r="F131">
        <v>0</v>
      </c>
    </row>
    <row r="132" spans="1:6">
      <c r="C132" s="659" t="s">
        <v>780</v>
      </c>
      <c r="F132">
        <v>0</v>
      </c>
    </row>
    <row r="133" spans="1:6">
      <c r="C133" s="659" t="s">
        <v>781</v>
      </c>
      <c r="F133" s="128">
        <f>80000-64000-2400</f>
        <v>13600</v>
      </c>
    </row>
    <row r="134" spans="1:6">
      <c r="C134" s="659" t="s">
        <v>782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D4" workbookViewId="0">
      <selection activeCell="E23" sqref="E23"/>
    </sheetView>
  </sheetViews>
  <sheetFormatPr baseColWidth="10" defaultRowHeight="15"/>
  <cols>
    <col min="1" max="1" width="11.42578125" style="747"/>
    <col min="2" max="2" width="25.28515625" style="747" customWidth="1"/>
    <col min="3" max="16384" width="11.42578125" style="747"/>
  </cols>
  <sheetData>
    <row r="1" spans="1:23">
      <c r="A1" s="747" t="s">
        <v>734</v>
      </c>
    </row>
    <row r="2" spans="1:23">
      <c r="C2" s="748">
        <v>2010</v>
      </c>
      <c r="D2" s="749"/>
      <c r="E2" s="750"/>
      <c r="F2" s="751">
        <v>2011</v>
      </c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3"/>
    </row>
    <row r="3" spans="1:23">
      <c r="C3" s="754" t="s">
        <v>735</v>
      </c>
      <c r="D3" s="755" t="s">
        <v>520</v>
      </c>
      <c r="E3" s="756" t="s">
        <v>736</v>
      </c>
      <c r="F3" s="757" t="s">
        <v>737</v>
      </c>
      <c r="G3" s="758" t="s">
        <v>436</v>
      </c>
      <c r="H3" s="758" t="s">
        <v>738</v>
      </c>
      <c r="I3" s="758" t="s">
        <v>739</v>
      </c>
      <c r="J3" s="758" t="s">
        <v>740</v>
      </c>
      <c r="K3" s="758" t="s">
        <v>741</v>
      </c>
      <c r="L3" s="758" t="s">
        <v>742</v>
      </c>
      <c r="M3" s="758" t="s">
        <v>743</v>
      </c>
      <c r="N3" s="758" t="s">
        <v>744</v>
      </c>
      <c r="O3" s="758" t="s">
        <v>735</v>
      </c>
      <c r="P3" s="758" t="s">
        <v>520</v>
      </c>
      <c r="Q3" s="759" t="s">
        <v>736</v>
      </c>
      <c r="R3" s="759" t="s">
        <v>18</v>
      </c>
    </row>
    <row r="4" spans="1:23">
      <c r="B4" s="760" t="s">
        <v>22</v>
      </c>
      <c r="C4" s="761">
        <f>SUM(C5:C8)</f>
        <v>15232</v>
      </c>
      <c r="D4" s="762">
        <f t="shared" ref="D4:Q4" si="0">SUM(D5:D8)</f>
        <v>14726</v>
      </c>
      <c r="E4" s="762">
        <f t="shared" si="0"/>
        <v>9100</v>
      </c>
      <c r="F4" s="762">
        <f t="shared" si="0"/>
        <v>9200</v>
      </c>
      <c r="G4" s="762">
        <f t="shared" si="0"/>
        <v>14600</v>
      </c>
      <c r="H4" s="762">
        <f t="shared" si="0"/>
        <v>7600</v>
      </c>
      <c r="I4" s="762">
        <f t="shared" si="0"/>
        <v>8050</v>
      </c>
      <c r="J4" s="762">
        <f t="shared" si="0"/>
        <v>14600</v>
      </c>
      <c r="K4" s="762">
        <f t="shared" si="0"/>
        <v>9300</v>
      </c>
      <c r="L4" s="762">
        <f t="shared" si="0"/>
        <v>8600</v>
      </c>
      <c r="M4" s="762">
        <f t="shared" si="0"/>
        <v>9800</v>
      </c>
      <c r="N4" s="762">
        <f t="shared" si="0"/>
        <v>14600</v>
      </c>
      <c r="O4" s="762">
        <f t="shared" si="0"/>
        <v>9232</v>
      </c>
      <c r="P4" s="762">
        <f t="shared" si="0"/>
        <v>15226</v>
      </c>
      <c r="Q4" s="763">
        <f t="shared" si="0"/>
        <v>9100</v>
      </c>
      <c r="R4" s="763">
        <f>SUM(C4:Q4)</f>
        <v>168966</v>
      </c>
    </row>
    <row r="5" spans="1:23">
      <c r="B5" s="764" t="s">
        <v>745</v>
      </c>
      <c r="C5" s="765">
        <v>2000</v>
      </c>
      <c r="D5" s="765">
        <v>2000</v>
      </c>
      <c r="E5" s="765">
        <v>2000</v>
      </c>
      <c r="F5" s="765">
        <v>2000</v>
      </c>
      <c r="G5" s="765">
        <v>2000</v>
      </c>
      <c r="H5" s="765">
        <v>2000</v>
      </c>
      <c r="I5" s="765">
        <v>2000</v>
      </c>
      <c r="J5" s="765">
        <v>2000</v>
      </c>
      <c r="K5" s="765">
        <v>2000</v>
      </c>
      <c r="L5" s="765">
        <v>2000</v>
      </c>
      <c r="M5" s="765">
        <v>2000</v>
      </c>
      <c r="N5" s="765">
        <v>2000</v>
      </c>
      <c r="O5" s="765">
        <v>2000</v>
      </c>
      <c r="P5" s="765">
        <v>2000</v>
      </c>
      <c r="Q5" s="766">
        <v>2000</v>
      </c>
      <c r="R5" s="766">
        <f t="shared" ref="R5:R19" si="1">SUM(C5:Q5)</f>
        <v>30000</v>
      </c>
      <c r="S5" s="767"/>
      <c r="T5" s="767"/>
      <c r="U5" s="767"/>
      <c r="V5" s="767"/>
      <c r="W5" s="767"/>
    </row>
    <row r="6" spans="1:23">
      <c r="B6" s="764" t="s">
        <v>746</v>
      </c>
      <c r="C6" s="765">
        <v>2000</v>
      </c>
      <c r="D6" s="765">
        <v>2000</v>
      </c>
      <c r="E6" s="765">
        <v>2000</v>
      </c>
      <c r="F6" s="765">
        <v>2000</v>
      </c>
      <c r="G6" s="765">
        <v>2000</v>
      </c>
      <c r="H6" s="765">
        <v>2000</v>
      </c>
      <c r="I6" s="765">
        <v>2000</v>
      </c>
      <c r="J6" s="765">
        <v>2000</v>
      </c>
      <c r="K6" s="765">
        <v>2000</v>
      </c>
      <c r="L6" s="765">
        <v>2000</v>
      </c>
      <c r="M6" s="765">
        <v>2000</v>
      </c>
      <c r="N6" s="765">
        <v>2000</v>
      </c>
      <c r="O6" s="765">
        <v>2000</v>
      </c>
      <c r="P6" s="765">
        <v>2000</v>
      </c>
      <c r="Q6" s="766">
        <v>2000</v>
      </c>
      <c r="R6" s="766">
        <f t="shared" si="1"/>
        <v>30000</v>
      </c>
      <c r="S6" s="767"/>
      <c r="T6" s="767"/>
      <c r="U6" s="767"/>
      <c r="V6" s="767"/>
      <c r="W6" s="767"/>
    </row>
    <row r="7" spans="1:23">
      <c r="B7" s="764" t="s">
        <v>747</v>
      </c>
      <c r="C7" s="765">
        <v>3100</v>
      </c>
      <c r="D7" s="765">
        <v>3100</v>
      </c>
      <c r="E7" s="765">
        <v>3100</v>
      </c>
      <c r="F7" s="765">
        <v>3100</v>
      </c>
      <c r="G7" s="765">
        <v>3100</v>
      </c>
      <c r="H7" s="765">
        <v>3100</v>
      </c>
      <c r="I7" s="765">
        <v>3100</v>
      </c>
      <c r="J7" s="765">
        <v>3100</v>
      </c>
      <c r="K7" s="765">
        <v>3100</v>
      </c>
      <c r="L7" s="765">
        <v>3100</v>
      </c>
      <c r="M7" s="765">
        <v>3100</v>
      </c>
      <c r="N7" s="765">
        <v>3100</v>
      </c>
      <c r="O7" s="765">
        <v>3100</v>
      </c>
      <c r="P7" s="765">
        <v>3100</v>
      </c>
      <c r="Q7" s="766">
        <v>3100</v>
      </c>
      <c r="R7" s="766">
        <f t="shared" si="1"/>
        <v>46500</v>
      </c>
      <c r="S7" s="767"/>
      <c r="T7" s="767"/>
      <c r="U7" s="767"/>
      <c r="V7" s="767"/>
      <c r="W7" s="767"/>
    </row>
    <row r="8" spans="1:23">
      <c r="B8" s="768" t="s">
        <v>72</v>
      </c>
      <c r="C8" s="769">
        <f>+C27</f>
        <v>8132</v>
      </c>
      <c r="D8" s="769">
        <f>+D27</f>
        <v>7626</v>
      </c>
      <c r="E8" s="769">
        <f>+E27</f>
        <v>2000</v>
      </c>
      <c r="F8" s="769">
        <f t="shared" ref="F8:Q8" si="2">+F27</f>
        <v>2100</v>
      </c>
      <c r="G8" s="769">
        <f t="shared" si="2"/>
        <v>7500</v>
      </c>
      <c r="H8" s="769">
        <f t="shared" si="2"/>
        <v>500</v>
      </c>
      <c r="I8" s="769">
        <f t="shared" si="2"/>
        <v>950</v>
      </c>
      <c r="J8" s="769">
        <f t="shared" si="2"/>
        <v>7500</v>
      </c>
      <c r="K8" s="769">
        <f t="shared" si="2"/>
        <v>2200</v>
      </c>
      <c r="L8" s="769">
        <f t="shared" si="2"/>
        <v>1500</v>
      </c>
      <c r="M8" s="769">
        <f t="shared" si="2"/>
        <v>2700</v>
      </c>
      <c r="N8" s="769">
        <f t="shared" si="2"/>
        <v>7500</v>
      </c>
      <c r="O8" s="769">
        <f t="shared" si="2"/>
        <v>2132</v>
      </c>
      <c r="P8" s="769">
        <f t="shared" si="2"/>
        <v>8126</v>
      </c>
      <c r="Q8" s="770">
        <f t="shared" si="2"/>
        <v>2000</v>
      </c>
      <c r="R8" s="770">
        <f t="shared" si="1"/>
        <v>62466</v>
      </c>
      <c r="S8" s="767"/>
      <c r="T8" s="767"/>
      <c r="U8" s="767"/>
      <c r="V8" s="767"/>
      <c r="W8" s="767"/>
    </row>
    <row r="9" spans="1:23">
      <c r="B9" s="760" t="s">
        <v>748</v>
      </c>
      <c r="C9" s="761">
        <f>SUM(C10:C14)</f>
        <v>18000</v>
      </c>
      <c r="D9" s="762">
        <f t="shared" ref="D9:Q9" si="3">SUM(D10:D14)</f>
        <v>20000</v>
      </c>
      <c r="E9" s="762">
        <f t="shared" si="3"/>
        <v>92800</v>
      </c>
      <c r="F9" s="762">
        <f t="shared" si="3"/>
        <v>20000</v>
      </c>
      <c r="G9" s="762">
        <f t="shared" si="3"/>
        <v>0</v>
      </c>
      <c r="H9" s="762">
        <f t="shared" si="3"/>
        <v>0</v>
      </c>
      <c r="I9" s="762">
        <f t="shared" si="3"/>
        <v>0</v>
      </c>
      <c r="J9" s="762">
        <f t="shared" si="3"/>
        <v>0</v>
      </c>
      <c r="K9" s="762">
        <f t="shared" si="3"/>
        <v>0</v>
      </c>
      <c r="L9" s="762">
        <f t="shared" si="3"/>
        <v>0</v>
      </c>
      <c r="M9" s="762">
        <f t="shared" si="3"/>
        <v>0</v>
      </c>
      <c r="N9" s="762">
        <f t="shared" si="3"/>
        <v>0</v>
      </c>
      <c r="O9" s="762">
        <f t="shared" si="3"/>
        <v>0</v>
      </c>
      <c r="P9" s="762">
        <f t="shared" si="3"/>
        <v>0</v>
      </c>
      <c r="Q9" s="763">
        <f t="shared" si="3"/>
        <v>0</v>
      </c>
      <c r="R9" s="763">
        <f t="shared" si="1"/>
        <v>150800</v>
      </c>
      <c r="S9" s="767"/>
      <c r="T9" s="767"/>
      <c r="U9" s="767"/>
      <c r="V9" s="767"/>
      <c r="W9" s="767"/>
    </row>
    <row r="10" spans="1:23">
      <c r="B10" s="764" t="s">
        <v>523</v>
      </c>
      <c r="C10" s="765">
        <v>18000</v>
      </c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6"/>
      <c r="R10" s="766">
        <f t="shared" si="1"/>
        <v>18000</v>
      </c>
      <c r="S10" s="767"/>
      <c r="T10" s="767"/>
      <c r="U10" s="767"/>
      <c r="V10" s="767"/>
      <c r="W10" s="767"/>
    </row>
    <row r="11" spans="1:23">
      <c r="B11" s="771" t="s">
        <v>749</v>
      </c>
      <c r="C11" s="772"/>
      <c r="D11" s="772">
        <v>20000</v>
      </c>
      <c r="E11" s="772"/>
      <c r="F11" s="772">
        <v>20000</v>
      </c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3"/>
      <c r="R11" s="773">
        <f t="shared" si="1"/>
        <v>40000</v>
      </c>
      <c r="S11" s="767"/>
      <c r="T11" s="767"/>
      <c r="U11" s="767"/>
      <c r="V11" s="767"/>
      <c r="W11" s="767"/>
    </row>
    <row r="12" spans="1:23">
      <c r="B12" s="771" t="s">
        <v>750</v>
      </c>
      <c r="C12" s="772"/>
      <c r="D12" s="772"/>
      <c r="E12" s="772">
        <v>20000</v>
      </c>
      <c r="F12" s="772"/>
      <c r="G12" s="772"/>
      <c r="H12" s="772"/>
      <c r="I12" s="772"/>
      <c r="J12" s="772"/>
      <c r="K12" s="772"/>
      <c r="L12" s="772"/>
      <c r="M12" s="772"/>
      <c r="N12" s="772"/>
      <c r="O12" s="772"/>
      <c r="P12" s="772"/>
      <c r="Q12" s="773"/>
      <c r="R12" s="773">
        <f t="shared" si="1"/>
        <v>20000</v>
      </c>
      <c r="S12" s="767"/>
      <c r="T12" s="767"/>
      <c r="U12" s="767"/>
      <c r="V12" s="767"/>
      <c r="W12" s="767"/>
    </row>
    <row r="13" spans="1:23">
      <c r="B13" s="771" t="s">
        <v>751</v>
      </c>
      <c r="C13" s="772"/>
      <c r="D13" s="772"/>
      <c r="E13" s="772">
        <f>1600*4</f>
        <v>6400</v>
      </c>
      <c r="F13" s="772"/>
      <c r="G13" s="772"/>
      <c r="H13" s="772"/>
      <c r="I13" s="772"/>
      <c r="J13" s="772"/>
      <c r="K13" s="772"/>
      <c r="L13" s="772"/>
      <c r="M13" s="772"/>
      <c r="N13" s="772"/>
      <c r="O13" s="772"/>
      <c r="P13" s="772"/>
      <c r="Q13" s="773"/>
      <c r="R13" s="773">
        <f t="shared" si="1"/>
        <v>6400</v>
      </c>
      <c r="S13" s="767"/>
      <c r="T13" s="767"/>
      <c r="U13" s="767"/>
      <c r="V13" s="767"/>
      <c r="W13" s="767"/>
    </row>
    <row r="14" spans="1:23">
      <c r="B14" s="774" t="s">
        <v>752</v>
      </c>
      <c r="C14" s="775"/>
      <c r="D14" s="775"/>
      <c r="E14" s="775">
        <v>66400</v>
      </c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P14" s="775"/>
      <c r="Q14" s="776"/>
      <c r="R14" s="776">
        <f t="shared" si="1"/>
        <v>66400</v>
      </c>
      <c r="S14" s="767"/>
      <c r="T14" s="767"/>
      <c r="U14" s="767"/>
      <c r="V14" s="767"/>
      <c r="W14" s="767"/>
    </row>
    <row r="15" spans="1:23">
      <c r="B15" s="777" t="s">
        <v>753</v>
      </c>
      <c r="C15" s="778">
        <f>+C4+C9</f>
        <v>33232</v>
      </c>
      <c r="D15" s="778">
        <f t="shared" ref="D15:Q15" si="4">+D4+D9</f>
        <v>34726</v>
      </c>
      <c r="E15" s="778">
        <f t="shared" si="4"/>
        <v>101900</v>
      </c>
      <c r="F15" s="778">
        <f t="shared" si="4"/>
        <v>29200</v>
      </c>
      <c r="G15" s="778">
        <f t="shared" si="4"/>
        <v>14600</v>
      </c>
      <c r="H15" s="778">
        <f t="shared" si="4"/>
        <v>7600</v>
      </c>
      <c r="I15" s="778">
        <f t="shared" si="4"/>
        <v>8050</v>
      </c>
      <c r="J15" s="778">
        <f t="shared" si="4"/>
        <v>14600</v>
      </c>
      <c r="K15" s="778">
        <f t="shared" si="4"/>
        <v>9300</v>
      </c>
      <c r="L15" s="778">
        <f t="shared" si="4"/>
        <v>8600</v>
      </c>
      <c r="M15" s="778">
        <f t="shared" si="4"/>
        <v>9800</v>
      </c>
      <c r="N15" s="778">
        <f t="shared" si="4"/>
        <v>14600</v>
      </c>
      <c r="O15" s="778">
        <f t="shared" si="4"/>
        <v>9232</v>
      </c>
      <c r="P15" s="778">
        <f t="shared" si="4"/>
        <v>15226</v>
      </c>
      <c r="Q15" s="779">
        <f t="shared" si="4"/>
        <v>9100</v>
      </c>
      <c r="R15" s="779">
        <f t="shared" si="1"/>
        <v>319766</v>
      </c>
      <c r="S15" s="767"/>
      <c r="T15" s="767"/>
      <c r="U15" s="767"/>
      <c r="V15" s="767"/>
      <c r="W15" s="767"/>
    </row>
    <row r="16" spans="1:23">
      <c r="C16" s="767"/>
      <c r="D16" s="767"/>
      <c r="E16" s="767"/>
      <c r="F16" s="767"/>
      <c r="G16" s="767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  <c r="U16" s="767"/>
      <c r="V16" s="767"/>
      <c r="W16" s="767"/>
    </row>
    <row r="17" spans="2:23">
      <c r="B17" s="760" t="s">
        <v>754</v>
      </c>
      <c r="C17" s="761">
        <f>SUM(C18:C20)</f>
        <v>6500</v>
      </c>
      <c r="D17" s="762">
        <f t="shared" ref="D17:Q17" si="5">SUM(D18:D20)</f>
        <v>6500</v>
      </c>
      <c r="E17" s="762">
        <f t="shared" si="5"/>
        <v>6500</v>
      </c>
      <c r="F17" s="762">
        <f t="shared" si="5"/>
        <v>6500</v>
      </c>
      <c r="G17" s="762">
        <f t="shared" si="5"/>
        <v>106500</v>
      </c>
      <c r="H17" s="762">
        <f t="shared" si="5"/>
        <v>6500</v>
      </c>
      <c r="I17" s="762">
        <f t="shared" si="5"/>
        <v>6500</v>
      </c>
      <c r="J17" s="762">
        <f t="shared" si="5"/>
        <v>6500</v>
      </c>
      <c r="K17" s="762">
        <f t="shared" si="5"/>
        <v>6500</v>
      </c>
      <c r="L17" s="762">
        <f t="shared" si="5"/>
        <v>6500</v>
      </c>
      <c r="M17" s="762">
        <f t="shared" si="5"/>
        <v>6500</v>
      </c>
      <c r="N17" s="762">
        <f t="shared" si="5"/>
        <v>6500</v>
      </c>
      <c r="O17" s="762">
        <f t="shared" si="5"/>
        <v>6500</v>
      </c>
      <c r="P17" s="762">
        <f t="shared" si="5"/>
        <v>6500</v>
      </c>
      <c r="Q17" s="763">
        <f t="shared" si="5"/>
        <v>6500</v>
      </c>
      <c r="R17" s="763">
        <f t="shared" si="1"/>
        <v>197500</v>
      </c>
      <c r="S17" s="767"/>
      <c r="T17" s="767"/>
      <c r="U17" s="767"/>
      <c r="V17" s="767"/>
      <c r="W17" s="767"/>
    </row>
    <row r="18" spans="2:23">
      <c r="B18" s="764" t="s">
        <v>755</v>
      </c>
      <c r="C18" s="765">
        <v>6500</v>
      </c>
      <c r="D18" s="765">
        <v>6500</v>
      </c>
      <c r="E18" s="765">
        <v>6500</v>
      </c>
      <c r="F18" s="765">
        <v>6500</v>
      </c>
      <c r="G18" s="765">
        <v>6500</v>
      </c>
      <c r="H18" s="765">
        <v>6500</v>
      </c>
      <c r="I18" s="765">
        <v>6500</v>
      </c>
      <c r="J18" s="765">
        <v>6500</v>
      </c>
      <c r="K18" s="765">
        <v>6500</v>
      </c>
      <c r="L18" s="765">
        <v>6500</v>
      </c>
      <c r="M18" s="765">
        <v>6500</v>
      </c>
      <c r="N18" s="765">
        <v>6500</v>
      </c>
      <c r="O18" s="765">
        <v>6500</v>
      </c>
      <c r="P18" s="765">
        <v>6500</v>
      </c>
      <c r="Q18" s="766">
        <v>6500</v>
      </c>
      <c r="R18" s="766">
        <f t="shared" si="1"/>
        <v>97500</v>
      </c>
      <c r="S18" s="767"/>
      <c r="T18" s="767"/>
      <c r="U18" s="767"/>
      <c r="V18" s="767"/>
      <c r="W18" s="767"/>
    </row>
    <row r="19" spans="2:23">
      <c r="B19" s="764" t="s">
        <v>756</v>
      </c>
      <c r="C19" s="765"/>
      <c r="D19" s="765"/>
      <c r="E19" s="765"/>
      <c r="F19" s="765"/>
      <c r="G19" s="765">
        <v>100000</v>
      </c>
      <c r="H19" s="765"/>
      <c r="I19" s="765"/>
      <c r="J19" s="765"/>
      <c r="K19" s="765"/>
      <c r="L19" s="765"/>
      <c r="M19" s="765"/>
      <c r="N19" s="765"/>
      <c r="O19" s="765"/>
      <c r="P19" s="765"/>
      <c r="Q19" s="766"/>
      <c r="R19" s="766">
        <f t="shared" si="1"/>
        <v>100000</v>
      </c>
      <c r="S19" s="767"/>
      <c r="T19" s="767"/>
      <c r="U19" s="767"/>
      <c r="V19" s="767"/>
      <c r="W19" s="767"/>
    </row>
    <row r="20" spans="2:23">
      <c r="B20" s="768" t="s">
        <v>72</v>
      </c>
      <c r="C20" s="769"/>
      <c r="D20" s="769"/>
      <c r="E20" s="769"/>
      <c r="F20" s="769"/>
      <c r="G20" s="769"/>
      <c r="H20" s="769"/>
      <c r="I20" s="769"/>
      <c r="J20" s="769"/>
      <c r="K20" s="769"/>
      <c r="L20" s="769"/>
      <c r="M20" s="769"/>
      <c r="N20" s="769"/>
      <c r="O20" s="769"/>
      <c r="P20" s="769"/>
      <c r="Q20" s="770"/>
      <c r="R20" s="770"/>
      <c r="S20" s="767"/>
      <c r="T20" s="767"/>
      <c r="U20" s="767"/>
      <c r="V20" s="767"/>
      <c r="W20" s="767"/>
    </row>
    <row r="21" spans="2:23">
      <c r="B21" s="780"/>
      <c r="C21" s="767"/>
      <c r="D21" s="767"/>
      <c r="E21" s="767"/>
      <c r="F21" s="767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  <c r="U21" s="767"/>
      <c r="V21" s="767"/>
      <c r="W21" s="767"/>
    </row>
    <row r="22" spans="2:23">
      <c r="B22" s="781" t="s">
        <v>757</v>
      </c>
      <c r="C22" s="782">
        <f>+C17-C15</f>
        <v>-26732</v>
      </c>
      <c r="D22" s="783">
        <f>+D17-D15</f>
        <v>-28226</v>
      </c>
      <c r="E22" s="783">
        <f t="shared" ref="E22:Q22" si="6">+E17-E15</f>
        <v>-95400</v>
      </c>
      <c r="F22" s="783">
        <f t="shared" si="6"/>
        <v>-22700</v>
      </c>
      <c r="G22" s="783">
        <f t="shared" si="6"/>
        <v>91900</v>
      </c>
      <c r="H22" s="783">
        <f t="shared" si="6"/>
        <v>-1100</v>
      </c>
      <c r="I22" s="783">
        <f t="shared" si="6"/>
        <v>-1550</v>
      </c>
      <c r="J22" s="783">
        <f t="shared" si="6"/>
        <v>-8100</v>
      </c>
      <c r="K22" s="783">
        <f t="shared" si="6"/>
        <v>-2800</v>
      </c>
      <c r="L22" s="783">
        <f t="shared" si="6"/>
        <v>-2100</v>
      </c>
      <c r="M22" s="783">
        <f t="shared" si="6"/>
        <v>-3300</v>
      </c>
      <c r="N22" s="783">
        <f t="shared" si="6"/>
        <v>-8100</v>
      </c>
      <c r="O22" s="783">
        <f t="shared" si="6"/>
        <v>-2732</v>
      </c>
      <c r="P22" s="783">
        <f t="shared" si="6"/>
        <v>-8726</v>
      </c>
      <c r="Q22" s="784">
        <f t="shared" si="6"/>
        <v>-2600</v>
      </c>
      <c r="R22" s="767"/>
      <c r="S22" s="767"/>
      <c r="T22" s="767"/>
      <c r="U22" s="767"/>
      <c r="V22" s="767"/>
      <c r="W22" s="767"/>
    </row>
    <row r="23" spans="2:23">
      <c r="B23" s="785" t="s">
        <v>758</v>
      </c>
      <c r="C23" s="786">
        <f>+C22</f>
        <v>-26732</v>
      </c>
      <c r="D23" s="787">
        <f>+C23+D22</f>
        <v>-54958</v>
      </c>
      <c r="E23" s="787">
        <f t="shared" ref="E23:Q23" si="7">+D23+E22</f>
        <v>-150358</v>
      </c>
      <c r="F23" s="787">
        <f t="shared" si="7"/>
        <v>-173058</v>
      </c>
      <c r="G23" s="787">
        <f t="shared" si="7"/>
        <v>-81158</v>
      </c>
      <c r="H23" s="787">
        <f t="shared" si="7"/>
        <v>-82258</v>
      </c>
      <c r="I23" s="787">
        <f t="shared" si="7"/>
        <v>-83808</v>
      </c>
      <c r="J23" s="787">
        <f t="shared" si="7"/>
        <v>-91908</v>
      </c>
      <c r="K23" s="787">
        <f t="shared" si="7"/>
        <v>-94708</v>
      </c>
      <c r="L23" s="787">
        <f t="shared" si="7"/>
        <v>-96808</v>
      </c>
      <c r="M23" s="787">
        <f t="shared" si="7"/>
        <v>-100108</v>
      </c>
      <c r="N23" s="787">
        <f t="shared" si="7"/>
        <v>-108208</v>
      </c>
      <c r="O23" s="787">
        <f t="shared" si="7"/>
        <v>-110940</v>
      </c>
      <c r="P23" s="787">
        <f t="shared" si="7"/>
        <v>-119666</v>
      </c>
      <c r="Q23" s="788">
        <f t="shared" si="7"/>
        <v>-122266</v>
      </c>
      <c r="R23" s="767"/>
      <c r="S23" s="767"/>
      <c r="T23" s="767"/>
      <c r="U23" s="767"/>
      <c r="V23" s="767"/>
      <c r="W23" s="767"/>
    </row>
    <row r="24" spans="2:23">
      <c r="C24" s="767"/>
      <c r="D24" s="767"/>
      <c r="E24" s="767"/>
      <c r="F24" s="767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  <c r="U24" s="767"/>
      <c r="V24" s="767"/>
      <c r="W24" s="767"/>
    </row>
    <row r="25" spans="2:23">
      <c r="C25" s="748">
        <v>2010</v>
      </c>
      <c r="D25" s="749"/>
      <c r="E25" s="750"/>
      <c r="F25" s="751">
        <v>2011</v>
      </c>
      <c r="G25" s="752"/>
      <c r="H25" s="752"/>
      <c r="I25" s="752"/>
      <c r="J25" s="752"/>
      <c r="K25" s="752"/>
      <c r="L25" s="752"/>
      <c r="M25" s="752"/>
      <c r="N25" s="752"/>
      <c r="O25" s="752"/>
      <c r="P25" s="752"/>
      <c r="Q25" s="753"/>
      <c r="R25" s="767"/>
      <c r="S25" s="767"/>
      <c r="T25" s="767"/>
      <c r="U25" s="767"/>
      <c r="V25" s="767"/>
      <c r="W25" s="767"/>
    </row>
    <row r="26" spans="2:23">
      <c r="C26" s="754" t="s">
        <v>735</v>
      </c>
      <c r="D26" s="755" t="s">
        <v>520</v>
      </c>
      <c r="E26" s="756" t="s">
        <v>736</v>
      </c>
      <c r="F26" s="757" t="s">
        <v>737</v>
      </c>
      <c r="G26" s="758" t="s">
        <v>436</v>
      </c>
      <c r="H26" s="758" t="s">
        <v>738</v>
      </c>
      <c r="I26" s="758" t="s">
        <v>739</v>
      </c>
      <c r="J26" s="758" t="s">
        <v>740</v>
      </c>
      <c r="K26" s="758" t="s">
        <v>741</v>
      </c>
      <c r="L26" s="758" t="s">
        <v>742</v>
      </c>
      <c r="M26" s="758" t="s">
        <v>743</v>
      </c>
      <c r="N26" s="758" t="s">
        <v>744</v>
      </c>
      <c r="O26" s="758" t="s">
        <v>735</v>
      </c>
      <c r="P26" s="758" t="s">
        <v>520</v>
      </c>
      <c r="Q26" s="759" t="s">
        <v>736</v>
      </c>
      <c r="R26" s="767"/>
      <c r="S26" s="767"/>
      <c r="T26" s="767"/>
      <c r="U26" s="767"/>
      <c r="V26" s="767"/>
      <c r="W26" s="767"/>
    </row>
    <row r="27" spans="2:23">
      <c r="B27" s="747" t="s">
        <v>759</v>
      </c>
      <c r="C27" s="789">
        <f>SUM(C28:C33)</f>
        <v>8132</v>
      </c>
      <c r="D27" s="789">
        <f>SUM(D35:D40)</f>
        <v>7626</v>
      </c>
      <c r="E27" s="789">
        <f>SUM(E42:E47)</f>
        <v>2000</v>
      </c>
      <c r="F27" s="789">
        <f>SUM(F28:F33)</f>
        <v>2100</v>
      </c>
      <c r="G27" s="789">
        <f>SUM(G35:G40)</f>
        <v>7500</v>
      </c>
      <c r="H27" s="789">
        <f>SUM(H42:H47)</f>
        <v>500</v>
      </c>
      <c r="I27" s="789">
        <f>SUM(I28:I33)</f>
        <v>950</v>
      </c>
      <c r="J27" s="789">
        <f>SUM(J35:J40)</f>
        <v>7500</v>
      </c>
      <c r="K27" s="789">
        <f>SUM(K42:K47)</f>
        <v>2200</v>
      </c>
      <c r="L27" s="789">
        <f>SUM(L28:L33)</f>
        <v>1500</v>
      </c>
      <c r="M27" s="789">
        <f>SUM(M35:M40)</f>
        <v>2700</v>
      </c>
      <c r="N27" s="789">
        <f>SUM(N42:N47)</f>
        <v>7500</v>
      </c>
      <c r="O27" s="789">
        <f>SUM(O28:O33)</f>
        <v>2132</v>
      </c>
      <c r="P27" s="789">
        <f>SUM(P35:P40)</f>
        <v>8126</v>
      </c>
      <c r="Q27" s="789">
        <f>SUM(Q42:Q47)</f>
        <v>2000</v>
      </c>
      <c r="R27" s="767"/>
      <c r="S27" s="767"/>
      <c r="T27" s="767"/>
      <c r="U27" s="767"/>
      <c r="V27" s="767"/>
      <c r="W27" s="767"/>
    </row>
    <row r="28" spans="2:23">
      <c r="C28" s="790"/>
      <c r="D28" s="767"/>
      <c r="E28" s="791" t="s">
        <v>760</v>
      </c>
      <c r="F28" s="792">
        <v>500</v>
      </c>
      <c r="G28" s="767"/>
      <c r="H28" s="791" t="s">
        <v>760</v>
      </c>
      <c r="I28" s="792">
        <v>500</v>
      </c>
      <c r="J28" s="767"/>
      <c r="K28" s="767" t="s">
        <v>761</v>
      </c>
      <c r="L28" s="790">
        <v>1500</v>
      </c>
      <c r="M28" s="767"/>
      <c r="N28" s="767"/>
      <c r="O28" s="790"/>
      <c r="P28" s="767"/>
      <c r="Q28" s="767"/>
      <c r="R28" s="767"/>
      <c r="S28" s="767"/>
      <c r="T28" s="767"/>
      <c r="U28" s="767"/>
      <c r="V28" s="767"/>
      <c r="W28" s="767"/>
    </row>
    <row r="29" spans="2:23">
      <c r="B29" s="793" t="s">
        <v>762</v>
      </c>
      <c r="C29" s="794">
        <v>832</v>
      </c>
      <c r="D29" s="767"/>
      <c r="E29" s="791" t="s">
        <v>763</v>
      </c>
      <c r="F29" s="794">
        <v>500</v>
      </c>
      <c r="G29" s="767"/>
      <c r="H29" s="767" t="s">
        <v>764</v>
      </c>
      <c r="I29" s="794">
        <v>450</v>
      </c>
      <c r="J29" s="767"/>
      <c r="K29" s="767"/>
      <c r="L29" s="794"/>
      <c r="M29" s="767"/>
      <c r="N29" s="747" t="s">
        <v>762</v>
      </c>
      <c r="O29" s="794">
        <v>832</v>
      </c>
      <c r="P29" s="767"/>
      <c r="Q29" s="767"/>
      <c r="R29" s="767"/>
      <c r="S29" s="767"/>
      <c r="T29" s="767"/>
      <c r="U29" s="767"/>
      <c r="V29" s="767"/>
      <c r="W29" s="767"/>
    </row>
    <row r="30" spans="2:23">
      <c r="B30" s="793" t="s">
        <v>765</v>
      </c>
      <c r="C30" s="794">
        <v>6000</v>
      </c>
      <c r="D30" s="767"/>
      <c r="E30" s="791" t="s">
        <v>766</v>
      </c>
      <c r="F30" s="794">
        <v>400</v>
      </c>
      <c r="G30" s="767"/>
      <c r="H30" s="767"/>
      <c r="I30" s="794"/>
      <c r="J30" s="767"/>
      <c r="K30" s="767"/>
      <c r="L30" s="794"/>
      <c r="M30" s="767"/>
      <c r="N30" s="767"/>
      <c r="O30" s="794"/>
      <c r="P30" s="767"/>
      <c r="Q30" s="767"/>
      <c r="R30" s="767"/>
      <c r="S30" s="767"/>
      <c r="T30" s="767"/>
      <c r="U30" s="767"/>
      <c r="V30" s="767"/>
      <c r="W30" s="767"/>
    </row>
    <row r="31" spans="2:23">
      <c r="B31" s="793" t="s">
        <v>767</v>
      </c>
      <c r="C31" s="794">
        <v>1300</v>
      </c>
      <c r="D31" s="767"/>
      <c r="E31" s="767" t="s">
        <v>318</v>
      </c>
      <c r="F31" s="794">
        <v>700</v>
      </c>
      <c r="G31" s="767"/>
      <c r="H31" s="767"/>
      <c r="I31" s="794"/>
      <c r="J31" s="767"/>
      <c r="K31" s="767"/>
      <c r="L31" s="794"/>
      <c r="M31" s="767"/>
      <c r="N31" s="793" t="s">
        <v>767</v>
      </c>
      <c r="O31" s="794">
        <v>1300</v>
      </c>
      <c r="P31" s="767"/>
      <c r="Q31" s="767"/>
      <c r="R31" s="767"/>
      <c r="S31" s="767"/>
      <c r="T31" s="767"/>
      <c r="U31" s="767"/>
      <c r="V31" s="767"/>
      <c r="W31" s="767"/>
    </row>
    <row r="32" spans="2:23">
      <c r="C32" s="795"/>
      <c r="F32" s="795"/>
      <c r="I32" s="795"/>
      <c r="L32" s="795"/>
      <c r="O32" s="795"/>
    </row>
    <row r="33" spans="3:17">
      <c r="C33" s="796"/>
      <c r="F33" s="796"/>
      <c r="I33" s="796"/>
      <c r="L33" s="796"/>
      <c r="O33" s="796"/>
    </row>
    <row r="35" spans="3:17">
      <c r="C35" s="793" t="s">
        <v>768</v>
      </c>
      <c r="D35" s="790">
        <v>1126</v>
      </c>
      <c r="F35" s="793" t="s">
        <v>769</v>
      </c>
      <c r="G35" s="790">
        <v>7500</v>
      </c>
      <c r="I35" s="793" t="s">
        <v>769</v>
      </c>
      <c r="J35" s="790">
        <v>7500</v>
      </c>
      <c r="L35" s="791" t="s">
        <v>766</v>
      </c>
      <c r="M35" s="790">
        <v>200</v>
      </c>
      <c r="O35" s="793" t="s">
        <v>768</v>
      </c>
      <c r="P35" s="790">
        <v>1126</v>
      </c>
    </row>
    <row r="36" spans="3:17">
      <c r="C36" s="793" t="s">
        <v>770</v>
      </c>
      <c r="D36" s="794">
        <v>1500</v>
      </c>
      <c r="F36" s="793"/>
      <c r="G36" s="794"/>
      <c r="I36" s="793"/>
      <c r="J36" s="794"/>
      <c r="L36" s="793" t="s">
        <v>771</v>
      </c>
      <c r="M36" s="794">
        <v>2500</v>
      </c>
      <c r="O36" s="793" t="s">
        <v>770</v>
      </c>
      <c r="P36" s="794">
        <v>1500</v>
      </c>
    </row>
    <row r="37" spans="3:17">
      <c r="C37" s="793" t="s">
        <v>772</v>
      </c>
      <c r="D37" s="794">
        <v>5000</v>
      </c>
      <c r="F37" s="793"/>
      <c r="G37" s="794"/>
      <c r="I37" s="793"/>
      <c r="J37" s="794"/>
      <c r="L37" s="793"/>
      <c r="M37" s="794"/>
      <c r="O37" s="793" t="s">
        <v>772</v>
      </c>
      <c r="P37" s="794">
        <v>5000</v>
      </c>
    </row>
    <row r="38" spans="3:17">
      <c r="D38" s="794"/>
      <c r="G38" s="794"/>
      <c r="J38" s="794"/>
      <c r="M38" s="794"/>
      <c r="O38" s="791" t="s">
        <v>760</v>
      </c>
      <c r="P38" s="794">
        <v>500</v>
      </c>
    </row>
    <row r="39" spans="3:17">
      <c r="D39" s="795"/>
      <c r="G39" s="795"/>
      <c r="J39" s="795"/>
      <c r="M39" s="795"/>
      <c r="P39" s="795"/>
    </row>
    <row r="40" spans="3:17">
      <c r="D40" s="796"/>
      <c r="G40" s="796"/>
      <c r="J40" s="796"/>
      <c r="M40" s="796"/>
      <c r="P40" s="796"/>
    </row>
    <row r="42" spans="3:17">
      <c r="E42" s="790"/>
      <c r="G42" s="793" t="s">
        <v>773</v>
      </c>
      <c r="H42" s="790">
        <v>500</v>
      </c>
      <c r="J42" s="793" t="s">
        <v>774</v>
      </c>
      <c r="K42" s="790">
        <v>1000</v>
      </c>
      <c r="M42" s="793" t="s">
        <v>769</v>
      </c>
      <c r="N42" s="790">
        <v>7500</v>
      </c>
      <c r="Q42" s="790"/>
    </row>
    <row r="43" spans="3:17">
      <c r="D43" s="747" t="s">
        <v>775</v>
      </c>
      <c r="E43" s="794">
        <v>2000</v>
      </c>
      <c r="H43" s="794"/>
      <c r="J43" s="791" t="s">
        <v>760</v>
      </c>
      <c r="K43" s="794">
        <v>500</v>
      </c>
      <c r="N43" s="794"/>
      <c r="P43" s="747" t="s">
        <v>775</v>
      </c>
      <c r="Q43" s="794">
        <v>2000</v>
      </c>
    </row>
    <row r="44" spans="3:17">
      <c r="E44" s="794"/>
      <c r="H44" s="794"/>
      <c r="J44" s="747" t="s">
        <v>776</v>
      </c>
      <c r="K44" s="794">
        <v>700</v>
      </c>
      <c r="N44" s="794"/>
      <c r="Q44" s="794"/>
    </row>
    <row r="45" spans="3:17">
      <c r="E45" s="794"/>
      <c r="H45" s="794"/>
      <c r="K45" s="794"/>
      <c r="N45" s="794"/>
      <c r="Q45" s="794"/>
    </row>
    <row r="46" spans="3:17">
      <c r="E46" s="795"/>
      <c r="H46" s="795"/>
      <c r="K46" s="795"/>
      <c r="N46" s="795"/>
      <c r="Q46" s="795"/>
    </row>
    <row r="47" spans="3:17">
      <c r="E47" s="796"/>
      <c r="H47" s="796"/>
      <c r="K47" s="796"/>
      <c r="N47" s="796"/>
      <c r="Q47" s="796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8" workbookViewId="0">
      <selection activeCell="C119" sqref="C119"/>
    </sheetView>
  </sheetViews>
  <sheetFormatPr baseColWidth="10" defaultRowHeight="12.75"/>
  <cols>
    <col min="1" max="1" width="3.5703125" style="470" customWidth="1"/>
    <col min="2" max="2" width="11.42578125" style="470"/>
    <col min="3" max="3" width="13.140625" style="470" bestFit="1" customWidth="1"/>
    <col min="4" max="6" width="11.42578125" style="470"/>
    <col min="7" max="7" width="31.140625" style="470" customWidth="1"/>
    <col min="8" max="8" width="25.7109375" style="470" customWidth="1"/>
    <col min="9" max="9" width="24.140625" style="470" customWidth="1"/>
    <col min="10" max="10" width="2.7109375" style="470" customWidth="1"/>
    <col min="11" max="16384" width="11.42578125" style="470"/>
  </cols>
  <sheetData>
    <row r="3" spans="2:9" s="468" customFormat="1" ht="18">
      <c r="C3" s="469" t="s">
        <v>493</v>
      </c>
      <c r="D3" s="469"/>
      <c r="E3" s="469"/>
      <c r="F3" s="469"/>
      <c r="G3" s="469"/>
      <c r="H3" s="469"/>
      <c r="I3" s="469"/>
    </row>
    <row r="6" spans="2:9">
      <c r="C6" s="471" t="s">
        <v>457</v>
      </c>
      <c r="D6" s="472"/>
      <c r="E6" s="471" t="s">
        <v>458</v>
      </c>
      <c r="F6" s="472"/>
      <c r="G6" s="473" t="s">
        <v>459</v>
      </c>
      <c r="H6" s="473" t="s">
        <v>460</v>
      </c>
      <c r="I6" s="473" t="s">
        <v>461</v>
      </c>
    </row>
    <row r="7" spans="2:9">
      <c r="B7" s="474" t="s">
        <v>462</v>
      </c>
      <c r="C7" s="475" t="s">
        <v>463</v>
      </c>
      <c r="D7" s="476"/>
      <c r="E7" s="475"/>
      <c r="F7" s="476">
        <v>0</v>
      </c>
      <c r="G7" s="864" t="s">
        <v>464</v>
      </c>
      <c r="H7" s="466"/>
      <c r="I7" s="864" t="s">
        <v>465</v>
      </c>
    </row>
    <row r="8" spans="2:9">
      <c r="B8" s="477"/>
      <c r="C8" s="477" t="s">
        <v>466</v>
      </c>
      <c r="D8" s="478"/>
      <c r="E8" s="477"/>
      <c r="F8" s="478">
        <v>0</v>
      </c>
      <c r="G8" s="865"/>
      <c r="H8" s="467" t="s">
        <v>467</v>
      </c>
      <c r="I8" s="865"/>
    </row>
    <row r="9" spans="2:9">
      <c r="B9" s="477"/>
      <c r="C9" s="477" t="s">
        <v>468</v>
      </c>
      <c r="D9" s="478"/>
      <c r="E9" s="477"/>
      <c r="F9" s="478">
        <v>0</v>
      </c>
      <c r="G9" s="865"/>
      <c r="H9" s="467"/>
      <c r="I9" s="865"/>
    </row>
    <row r="10" spans="2:9">
      <c r="B10" s="479"/>
      <c r="C10" s="479" t="s">
        <v>469</v>
      </c>
      <c r="D10" s="480"/>
      <c r="E10" s="479"/>
      <c r="F10" s="480">
        <v>0</v>
      </c>
      <c r="G10" s="481"/>
      <c r="H10" s="481"/>
      <c r="I10" s="481"/>
    </row>
    <row r="11" spans="2:9" ht="12.75" customHeight="1">
      <c r="B11" s="474" t="s">
        <v>470</v>
      </c>
      <c r="C11" s="475" t="s">
        <v>471</v>
      </c>
      <c r="D11" s="483">
        <v>76.22</v>
      </c>
      <c r="E11" s="484">
        <v>0.7</v>
      </c>
      <c r="F11" s="483">
        <f>+E11*D11</f>
        <v>53.353999999999999</v>
      </c>
      <c r="G11" s="864" t="s">
        <v>472</v>
      </c>
      <c r="H11" s="466" t="s">
        <v>223</v>
      </c>
      <c r="I11" s="485"/>
    </row>
    <row r="12" spans="2:9">
      <c r="B12" s="477"/>
      <c r="C12" s="477"/>
      <c r="D12" s="486">
        <f>762.25-D11</f>
        <v>686.03</v>
      </c>
      <c r="E12" s="487">
        <v>0.5</v>
      </c>
      <c r="F12" s="486">
        <f>+E12*D12</f>
        <v>343.01499999999999</v>
      </c>
      <c r="G12" s="865"/>
      <c r="H12" s="467"/>
      <c r="I12" s="488"/>
    </row>
    <row r="13" spans="2:9">
      <c r="B13" s="477"/>
      <c r="C13" s="477"/>
      <c r="D13" s="486">
        <f>+F13/E13+762.25</f>
        <v>6479.1049999999987</v>
      </c>
      <c r="E13" s="487">
        <v>0.2</v>
      </c>
      <c r="F13" s="486">
        <f>+F14-F12-F11</f>
        <v>1143.3709999999999</v>
      </c>
      <c r="G13" s="865"/>
      <c r="H13" s="865" t="s">
        <v>473</v>
      </c>
      <c r="I13" s="865" t="s">
        <v>474</v>
      </c>
    </row>
    <row r="14" spans="2:9">
      <c r="B14" s="477"/>
      <c r="C14" s="489" t="s">
        <v>475</v>
      </c>
      <c r="D14" s="490">
        <f>SUM(D11:D13)</f>
        <v>7241.3549999999987</v>
      </c>
      <c r="E14" s="489" t="s">
        <v>476</v>
      </c>
      <c r="F14" s="490">
        <v>1539.74</v>
      </c>
      <c r="G14" s="865"/>
      <c r="H14" s="865"/>
      <c r="I14" s="865"/>
    </row>
    <row r="15" spans="2:9">
      <c r="B15" s="477"/>
      <c r="C15" s="477"/>
      <c r="D15" s="478"/>
      <c r="E15" s="477"/>
      <c r="F15" s="478"/>
      <c r="G15" s="865"/>
      <c r="H15" s="491" t="s">
        <v>477</v>
      </c>
      <c r="I15" s="865"/>
    </row>
    <row r="16" spans="2:9">
      <c r="B16" s="477"/>
      <c r="C16" s="477" t="s">
        <v>478</v>
      </c>
      <c r="D16" s="478"/>
      <c r="E16" s="492">
        <v>0.7</v>
      </c>
      <c r="F16" s="486"/>
      <c r="G16" s="865"/>
      <c r="H16" s="491"/>
      <c r="I16" s="488"/>
    </row>
    <row r="17" spans="2:9">
      <c r="B17" s="477"/>
      <c r="C17" s="477"/>
      <c r="D17" s="478"/>
      <c r="E17" s="477"/>
      <c r="F17" s="478"/>
      <c r="G17" s="865"/>
      <c r="H17" s="491"/>
      <c r="I17" s="488"/>
    </row>
    <row r="18" spans="2:9">
      <c r="B18" s="479"/>
      <c r="C18" s="479"/>
      <c r="D18" s="480"/>
      <c r="E18" s="479" t="s">
        <v>479</v>
      </c>
      <c r="F18" s="493">
        <v>2744.64</v>
      </c>
      <c r="G18" s="866"/>
      <c r="H18" s="494"/>
      <c r="I18" s="481"/>
    </row>
    <row r="19" spans="2:9">
      <c r="B19" s="474" t="s">
        <v>480</v>
      </c>
      <c r="C19" s="475" t="s">
        <v>471</v>
      </c>
      <c r="D19" s="483">
        <v>200</v>
      </c>
      <c r="E19" s="484">
        <v>1</v>
      </c>
      <c r="F19" s="483">
        <f>+E19*D19</f>
        <v>200</v>
      </c>
      <c r="G19" s="864" t="s">
        <v>481</v>
      </c>
      <c r="H19" s="473" t="s">
        <v>482</v>
      </c>
      <c r="I19" s="485"/>
    </row>
    <row r="20" spans="2:9">
      <c r="B20" s="477"/>
      <c r="C20" s="477"/>
      <c r="D20" s="486">
        <v>600</v>
      </c>
      <c r="E20" s="487">
        <v>0.7</v>
      </c>
      <c r="F20" s="486">
        <f>+E20*D20</f>
        <v>420</v>
      </c>
      <c r="G20" s="865"/>
      <c r="H20" s="491"/>
      <c r="I20" s="488"/>
    </row>
    <row r="21" spans="2:9">
      <c r="B21" s="477"/>
      <c r="C21" s="477"/>
      <c r="D21" s="486">
        <f>+F21/E21+800</f>
        <v>4066.666666666667</v>
      </c>
      <c r="E21" s="487">
        <v>0.3</v>
      </c>
      <c r="F21" s="486">
        <f>+F22-F20-F19</f>
        <v>980</v>
      </c>
      <c r="G21" s="865"/>
      <c r="H21" s="491"/>
      <c r="I21" s="488"/>
    </row>
    <row r="22" spans="2:9">
      <c r="B22" s="477"/>
      <c r="C22" s="489" t="s">
        <v>475</v>
      </c>
      <c r="D22" s="490">
        <f>SUM(D19:D21)</f>
        <v>4866.666666666667</v>
      </c>
      <c r="E22" s="489" t="s">
        <v>476</v>
      </c>
      <c r="F22" s="490">
        <v>1600</v>
      </c>
      <c r="G22" s="865"/>
      <c r="H22" s="865" t="s">
        <v>473</v>
      </c>
      <c r="I22" s="488" t="s">
        <v>483</v>
      </c>
    </row>
    <row r="23" spans="2:9">
      <c r="B23" s="477"/>
      <c r="C23" s="477"/>
      <c r="D23" s="478"/>
      <c r="E23" s="477"/>
      <c r="F23" s="478"/>
      <c r="G23" s="865"/>
      <c r="H23" s="865"/>
      <c r="I23" s="488"/>
    </row>
    <row r="24" spans="2:9">
      <c r="B24" s="477"/>
      <c r="C24" s="477" t="s">
        <v>478</v>
      </c>
      <c r="D24" s="478"/>
      <c r="E24" s="492">
        <v>0.7</v>
      </c>
      <c r="F24" s="478"/>
      <c r="G24" s="865"/>
      <c r="H24" s="491" t="s">
        <v>484</v>
      </c>
      <c r="I24" s="488"/>
    </row>
    <row r="25" spans="2:9">
      <c r="B25" s="477"/>
      <c r="C25" s="477"/>
      <c r="D25" s="478"/>
      <c r="E25" s="477"/>
      <c r="F25" s="478"/>
      <c r="G25" s="865"/>
      <c r="H25" s="491"/>
      <c r="I25" s="488"/>
    </row>
    <row r="26" spans="2:9">
      <c r="B26" s="477"/>
      <c r="C26" s="477" t="s">
        <v>485</v>
      </c>
      <c r="D26" s="478"/>
      <c r="E26" s="492">
        <v>0.3</v>
      </c>
      <c r="F26" s="478"/>
      <c r="G26" s="865"/>
      <c r="H26" s="491"/>
      <c r="I26" s="488"/>
    </row>
    <row r="27" spans="2:9">
      <c r="B27" s="477"/>
      <c r="C27" s="477"/>
      <c r="D27" s="478"/>
      <c r="E27" s="477"/>
      <c r="F27" s="478"/>
      <c r="G27" s="865"/>
      <c r="H27" s="491"/>
      <c r="I27" s="488"/>
    </row>
    <row r="28" spans="2:9">
      <c r="B28" s="479"/>
      <c r="C28" s="479"/>
      <c r="D28" s="480"/>
      <c r="E28" s="479" t="s">
        <v>479</v>
      </c>
      <c r="F28" s="493">
        <v>5489</v>
      </c>
      <c r="G28" s="866"/>
      <c r="H28" s="494"/>
      <c r="I28" s="481"/>
    </row>
    <row r="32" spans="2:9">
      <c r="B32" s="470" t="s">
        <v>486</v>
      </c>
    </row>
    <row r="34" spans="1:9">
      <c r="C34" s="470" t="s">
        <v>462</v>
      </c>
      <c r="D34" s="470" t="s">
        <v>487</v>
      </c>
    </row>
    <row r="36" spans="1:9">
      <c r="C36" s="470" t="s">
        <v>470</v>
      </c>
      <c r="D36" s="470" t="s">
        <v>488</v>
      </c>
    </row>
    <row r="37" spans="1:9">
      <c r="D37" s="470" t="s">
        <v>489</v>
      </c>
    </row>
    <row r="38" spans="1:9">
      <c r="D38" s="470" t="s">
        <v>513</v>
      </c>
    </row>
    <row r="40" spans="1:9">
      <c r="C40" s="470" t="s">
        <v>491</v>
      </c>
      <c r="D40" s="470" t="s">
        <v>492</v>
      </c>
    </row>
    <row r="41" spans="1:9">
      <c r="D41" s="470" t="s">
        <v>490</v>
      </c>
    </row>
    <row r="45" spans="1:9" s="567" customFormat="1" ht="15.75">
      <c r="A45" s="567" t="s">
        <v>552</v>
      </c>
    </row>
    <row r="48" spans="1:9" s="495" customFormat="1" ht="25.5">
      <c r="B48" s="510" t="s">
        <v>500</v>
      </c>
      <c r="C48" s="511" t="s">
        <v>457</v>
      </c>
      <c r="D48" s="511" t="s">
        <v>495</v>
      </c>
      <c r="E48" s="511" t="s">
        <v>497</v>
      </c>
      <c r="F48" s="511" t="s">
        <v>496</v>
      </c>
      <c r="G48" s="511" t="s">
        <v>494</v>
      </c>
      <c r="H48" s="511" t="s">
        <v>498</v>
      </c>
      <c r="I48" s="512" t="s">
        <v>499</v>
      </c>
    </row>
    <row r="49" spans="1:11">
      <c r="B49" s="497">
        <v>39447</v>
      </c>
      <c r="C49" s="498">
        <v>2500</v>
      </c>
      <c r="D49" s="498">
        <f>743.92-57.72</f>
        <v>686.19999999999993</v>
      </c>
      <c r="E49" s="499">
        <v>120.76</v>
      </c>
      <c r="F49" s="499">
        <f>+ROUND((C49+D49)/E49,4)</f>
        <v>26.384599999999999</v>
      </c>
      <c r="G49" s="500" t="s">
        <v>501</v>
      </c>
      <c r="H49" s="498">
        <f>+C49+D49</f>
        <v>3186.2</v>
      </c>
      <c r="I49" s="501">
        <v>41091</v>
      </c>
    </row>
    <row r="50" spans="1:11">
      <c r="B50" s="502">
        <v>39447</v>
      </c>
      <c r="C50" s="503">
        <v>4000</v>
      </c>
      <c r="D50" s="503">
        <f>795.82-61.75</f>
        <v>734.07</v>
      </c>
      <c r="E50" s="504">
        <v>173.62</v>
      </c>
      <c r="F50" s="504">
        <f>+ROUND((C50+D50)/E50,4)</f>
        <v>27.2668</v>
      </c>
      <c r="G50" s="482" t="s">
        <v>502</v>
      </c>
      <c r="H50" s="503">
        <f>+C50+D50</f>
        <v>4734.07</v>
      </c>
      <c r="I50" s="505">
        <v>41091</v>
      </c>
    </row>
    <row r="51" spans="1:11">
      <c r="B51" s="506" t="s">
        <v>503</v>
      </c>
      <c r="C51" s="507">
        <f>SUM(C49:C50)</f>
        <v>6500</v>
      </c>
      <c r="D51" s="507"/>
      <c r="E51" s="508"/>
      <c r="F51" s="508"/>
      <c r="G51" s="508"/>
      <c r="H51" s="507">
        <f>SUM(H49:H50)</f>
        <v>7920.2699999999995</v>
      </c>
      <c r="I51" s="509"/>
    </row>
    <row r="52" spans="1:11">
      <c r="B52" s="513"/>
      <c r="C52" s="514"/>
      <c r="D52" s="514"/>
      <c r="E52" s="513"/>
      <c r="F52" s="513"/>
      <c r="G52" s="513"/>
      <c r="H52" s="514"/>
      <c r="I52" s="513"/>
    </row>
    <row r="53" spans="1:11">
      <c r="B53" s="513"/>
      <c r="C53" s="514"/>
      <c r="D53" s="514"/>
      <c r="E53" s="513"/>
      <c r="F53" s="513"/>
      <c r="G53" s="513"/>
      <c r="H53" s="514"/>
      <c r="I53" s="513"/>
    </row>
    <row r="54" spans="1:11">
      <c r="B54" s="470" t="s">
        <v>504</v>
      </c>
      <c r="C54" s="496"/>
      <c r="D54" s="496"/>
    </row>
    <row r="55" spans="1:11" ht="25.5">
      <c r="B55" s="510" t="s">
        <v>500</v>
      </c>
      <c r="C55" s="511" t="s">
        <v>457</v>
      </c>
      <c r="D55" s="511" t="s">
        <v>495</v>
      </c>
      <c r="E55" s="511" t="s">
        <v>497</v>
      </c>
      <c r="F55" s="511" t="s">
        <v>496</v>
      </c>
      <c r="G55" s="511" t="s">
        <v>494</v>
      </c>
      <c r="H55" s="511" t="s">
        <v>498</v>
      </c>
      <c r="I55" s="512" t="s">
        <v>499</v>
      </c>
    </row>
    <row r="56" spans="1:11">
      <c r="B56" s="497">
        <v>39470</v>
      </c>
      <c r="C56" s="498">
        <v>2500</v>
      </c>
      <c r="D56" s="498">
        <f>743.92-57.72</f>
        <v>686.19999999999993</v>
      </c>
      <c r="E56" s="515">
        <v>25.9</v>
      </c>
      <c r="F56" s="527">
        <v>122.7642</v>
      </c>
      <c r="G56" s="500" t="s">
        <v>505</v>
      </c>
      <c r="H56" s="498">
        <f>+E56*F56</f>
        <v>3179.5927799999999</v>
      </c>
      <c r="I56" s="501">
        <v>41091</v>
      </c>
    </row>
    <row r="57" spans="1:11">
      <c r="B57" s="502">
        <v>39470</v>
      </c>
      <c r="C57" s="503">
        <v>4000</v>
      </c>
      <c r="D57" s="503">
        <f>795.82-61.75</f>
        <v>734.07</v>
      </c>
      <c r="E57" s="516">
        <v>21.08</v>
      </c>
      <c r="F57" s="528">
        <v>215.1078</v>
      </c>
      <c r="G57" s="482" t="s">
        <v>511</v>
      </c>
      <c r="H57" s="503">
        <f>+E57*F57</f>
        <v>4534.4724239999996</v>
      </c>
      <c r="I57" s="505">
        <v>41091</v>
      </c>
    </row>
    <row r="58" spans="1:11">
      <c r="B58" s="506" t="s">
        <v>503</v>
      </c>
      <c r="C58" s="507">
        <f>SUM(C56:C57)</f>
        <v>6500</v>
      </c>
      <c r="D58" s="507"/>
      <c r="E58" s="508"/>
      <c r="F58" s="508"/>
      <c r="G58" s="508"/>
      <c r="H58" s="525">
        <f>SUM(H56:H57)</f>
        <v>7714.0652039999995</v>
      </c>
      <c r="I58" s="509"/>
    </row>
    <row r="59" spans="1:11">
      <c r="A59" s="517"/>
      <c r="B59" s="517"/>
      <c r="C59" s="518"/>
      <c r="D59" s="518"/>
      <c r="E59" s="517"/>
      <c r="F59" s="517"/>
      <c r="G59" s="517"/>
      <c r="H59" s="517"/>
      <c r="I59" s="517"/>
      <c r="J59" s="517"/>
      <c r="K59" s="517"/>
    </row>
    <row r="60" spans="1:11">
      <c r="C60" s="496"/>
      <c r="D60" s="496"/>
    </row>
    <row r="61" spans="1:11" ht="25.5">
      <c r="B61" s="510" t="s">
        <v>500</v>
      </c>
      <c r="C61" s="511" t="s">
        <v>457</v>
      </c>
      <c r="D61" s="511" t="s">
        <v>495</v>
      </c>
      <c r="E61" s="511" t="s">
        <v>497</v>
      </c>
      <c r="F61" s="511" t="s">
        <v>496</v>
      </c>
      <c r="G61" s="511" t="s">
        <v>494</v>
      </c>
      <c r="H61" s="511" t="s">
        <v>498</v>
      </c>
      <c r="I61" s="512" t="s">
        <v>499</v>
      </c>
    </row>
    <row r="62" spans="1:11">
      <c r="B62" s="497">
        <v>39539</v>
      </c>
      <c r="C62" s="498">
        <v>0</v>
      </c>
      <c r="D62" s="498">
        <f>374.21+2.25</f>
        <v>376.46</v>
      </c>
      <c r="E62" s="499">
        <v>21.77</v>
      </c>
      <c r="F62" s="529">
        <f>+ROUND((C62+D62)/E62,4)</f>
        <v>17.2926</v>
      </c>
      <c r="G62" s="520" t="s">
        <v>506</v>
      </c>
      <c r="H62" s="514">
        <f>+E62*F62</f>
        <v>376.459902</v>
      </c>
      <c r="I62" s="521">
        <v>41365</v>
      </c>
      <c r="K62" s="470" t="s">
        <v>507</v>
      </c>
    </row>
    <row r="63" spans="1:11">
      <c r="B63" s="519">
        <v>39624</v>
      </c>
      <c r="C63" s="514">
        <v>132.28</v>
      </c>
      <c r="D63" s="514">
        <f>92.6-7.18</f>
        <v>85.419999999999987</v>
      </c>
      <c r="E63" s="513">
        <v>21.84</v>
      </c>
      <c r="F63" s="529">
        <f>+ROUND((C63+D63)/E63,4)</f>
        <v>9.9679000000000002</v>
      </c>
      <c r="G63" s="520" t="s">
        <v>506</v>
      </c>
      <c r="H63" s="514">
        <f>+E63*F63</f>
        <v>217.698936</v>
      </c>
      <c r="I63" s="521">
        <v>41456</v>
      </c>
      <c r="K63" s="470" t="s">
        <v>507</v>
      </c>
    </row>
    <row r="64" spans="1:11" s="522" customFormat="1">
      <c r="B64" s="523">
        <v>39645</v>
      </c>
      <c r="C64" s="524">
        <v>5963</v>
      </c>
      <c r="D64" s="524">
        <f>5794.55+1287.62-5963</f>
        <v>1119.17</v>
      </c>
      <c r="E64" s="524">
        <f>(+C64+D64)/F64</f>
        <v>24.230937668931638</v>
      </c>
      <c r="F64" s="529">
        <f>294.1101-F65</f>
        <v>292.27799999999996</v>
      </c>
      <c r="G64" s="520" t="s">
        <v>505</v>
      </c>
      <c r="H64" s="524">
        <f>+E64*F64</f>
        <v>7082.17</v>
      </c>
      <c r="I64" s="521">
        <v>41456</v>
      </c>
      <c r="K64" s="522" t="s">
        <v>509</v>
      </c>
    </row>
    <row r="65" spans="1:12">
      <c r="B65" s="519">
        <v>39651</v>
      </c>
      <c r="C65" s="514">
        <v>0</v>
      </c>
      <c r="D65" s="514">
        <f>49.21-3.81</f>
        <v>45.4</v>
      </c>
      <c r="E65" s="513">
        <v>24.78</v>
      </c>
      <c r="F65" s="529">
        <f>+ROUND((C65+D65)/E65,4)</f>
        <v>1.8321000000000001</v>
      </c>
      <c r="G65" s="520" t="s">
        <v>505</v>
      </c>
      <c r="H65" s="514">
        <f>+E65*F65</f>
        <v>45.399438000000004</v>
      </c>
      <c r="I65" s="521">
        <v>41456</v>
      </c>
      <c r="K65" s="470" t="s">
        <v>510</v>
      </c>
    </row>
    <row r="66" spans="1:12">
      <c r="B66" s="502">
        <v>39470</v>
      </c>
      <c r="C66" s="503"/>
      <c r="D66" s="503"/>
      <c r="E66" s="516">
        <v>21.08</v>
      </c>
      <c r="F66" s="504">
        <f>+ROUND((C66+D66)/E66,4)</f>
        <v>0</v>
      </c>
      <c r="G66" s="482" t="s">
        <v>511</v>
      </c>
      <c r="H66" s="503">
        <f>+E66*F66</f>
        <v>0</v>
      </c>
      <c r="I66" s="505">
        <v>41091</v>
      </c>
    </row>
    <row r="67" spans="1:12">
      <c r="B67" s="506" t="s">
        <v>508</v>
      </c>
      <c r="C67" s="507">
        <f>SUM(C62:C66)</f>
        <v>6095.28</v>
      </c>
      <c r="D67" s="507"/>
      <c r="E67" s="508"/>
      <c r="F67" s="508"/>
      <c r="G67" s="508"/>
      <c r="H67" s="525">
        <f>SUM(H62:H66)</f>
        <v>7721.7282760000007</v>
      </c>
      <c r="I67" s="509"/>
    </row>
    <row r="68" spans="1:12">
      <c r="A68" s="517"/>
      <c r="B68" s="526"/>
      <c r="C68" s="518"/>
      <c r="D68" s="518"/>
      <c r="E68" s="517"/>
      <c r="F68" s="517"/>
      <c r="G68" s="517"/>
      <c r="H68" s="517"/>
      <c r="I68" s="517"/>
      <c r="J68" s="517"/>
      <c r="K68" s="517"/>
    </row>
    <row r="69" spans="1:12">
      <c r="C69" s="496"/>
      <c r="D69" s="496"/>
    </row>
    <row r="70" spans="1:12" ht="25.5">
      <c r="B70" s="510" t="s">
        <v>500</v>
      </c>
      <c r="C70" s="511" t="s">
        <v>457</v>
      </c>
      <c r="D70" s="511" t="s">
        <v>495</v>
      </c>
      <c r="E70" s="511" t="s">
        <v>497</v>
      </c>
      <c r="F70" s="511" t="s">
        <v>496</v>
      </c>
      <c r="G70" s="511" t="s">
        <v>494</v>
      </c>
      <c r="H70" s="511" t="s">
        <v>498</v>
      </c>
      <c r="I70" s="512" t="s">
        <v>499</v>
      </c>
    </row>
    <row r="71" spans="1:12">
      <c r="B71" s="497">
        <v>40025</v>
      </c>
      <c r="C71" s="498">
        <v>1668.65</v>
      </c>
      <c r="D71" s="498">
        <v>989.64</v>
      </c>
      <c r="E71" s="515">
        <f>+(C71+D71)/F71</f>
        <v>15.930018636927484</v>
      </c>
      <c r="F71" s="564">
        <v>166.87299999999999</v>
      </c>
      <c r="G71" s="520" t="s">
        <v>511</v>
      </c>
      <c r="H71" s="514">
        <f>+E71*F71</f>
        <v>2658.29</v>
      </c>
      <c r="I71" s="521">
        <v>41821</v>
      </c>
    </row>
    <row r="72" spans="1:12">
      <c r="B72" s="519">
        <v>40165</v>
      </c>
      <c r="C72" s="514">
        <v>3500</v>
      </c>
      <c r="D72" s="514">
        <f>695.82-53.99</f>
        <v>641.83000000000004</v>
      </c>
      <c r="E72" s="563">
        <f>+(C72+D72)/F72</f>
        <v>16.146830693804226</v>
      </c>
      <c r="F72" s="565">
        <f>217.666+38.8444</f>
        <v>256.5104</v>
      </c>
      <c r="G72" s="520" t="s">
        <v>511</v>
      </c>
      <c r="H72" s="514">
        <f>+E72*F72</f>
        <v>4141.83</v>
      </c>
      <c r="I72" s="521">
        <v>41821</v>
      </c>
    </row>
    <row r="73" spans="1:12">
      <c r="B73" s="519">
        <v>40165</v>
      </c>
      <c r="C73" s="514">
        <v>3000</v>
      </c>
      <c r="D73" s="514">
        <f>843.92-65.48</f>
        <v>778.43999999999994</v>
      </c>
      <c r="E73" s="563">
        <f>+(C73+D73)/F73</f>
        <v>26.360626916382081</v>
      </c>
      <c r="F73" s="565">
        <f>113.9199+29.4166</f>
        <v>143.3365</v>
      </c>
      <c r="G73" s="520" t="s">
        <v>505</v>
      </c>
      <c r="H73" s="514">
        <f>+E73*F73</f>
        <v>3778.44</v>
      </c>
      <c r="I73" s="521">
        <v>41821</v>
      </c>
    </row>
    <row r="74" spans="1:12">
      <c r="B74" s="519"/>
      <c r="C74" s="514"/>
      <c r="D74" s="514"/>
      <c r="E74" s="513">
        <v>24.78</v>
      </c>
      <c r="F74" s="564">
        <f>+ROUND((C74+D74)/E74,4)</f>
        <v>0</v>
      </c>
      <c r="G74" s="520"/>
      <c r="H74" s="514">
        <f>+E74*F74</f>
        <v>0</v>
      </c>
      <c r="I74" s="521"/>
    </row>
    <row r="75" spans="1:12">
      <c r="B75" s="502"/>
      <c r="C75" s="503"/>
      <c r="D75" s="503"/>
      <c r="E75" s="516">
        <v>21.08</v>
      </c>
      <c r="F75" s="566">
        <f>+ROUND((C75+D75)/E75,4)</f>
        <v>0</v>
      </c>
      <c r="G75" s="482"/>
      <c r="H75" s="503">
        <f>+E75*F75</f>
        <v>0</v>
      </c>
      <c r="I75" s="505"/>
    </row>
    <row r="76" spans="1:12">
      <c r="B76" s="506" t="s">
        <v>512</v>
      </c>
      <c r="C76" s="507">
        <f>SUM(C71:C75)</f>
        <v>8168.65</v>
      </c>
      <c r="D76" s="507"/>
      <c r="E76" s="508"/>
      <c r="F76" s="508"/>
      <c r="G76" s="508"/>
      <c r="H76" s="525">
        <f>SUM(H71:H75)</f>
        <v>10578.56</v>
      </c>
      <c r="I76" s="509"/>
    </row>
    <row r="77" spans="1:12">
      <c r="B77" s="513"/>
      <c r="C77" s="514"/>
      <c r="D77" s="514"/>
      <c r="E77" s="513"/>
      <c r="F77" s="513"/>
      <c r="G77" s="513"/>
      <c r="H77" s="530"/>
      <c r="I77" s="513"/>
      <c r="L77" s="513"/>
    </row>
    <row r="78" spans="1:12">
      <c r="B78" s="513"/>
      <c r="C78" s="514"/>
      <c r="D78" s="514"/>
      <c r="E78" s="513"/>
      <c r="F78" s="513"/>
      <c r="G78" s="513"/>
      <c r="H78" s="530"/>
      <c r="I78" s="513"/>
      <c r="L78" s="513"/>
    </row>
    <row r="79" spans="1:12">
      <c r="B79" s="513"/>
      <c r="C79" s="514"/>
      <c r="D79" s="514"/>
      <c r="E79" s="513"/>
      <c r="F79" s="513"/>
      <c r="G79" s="513"/>
      <c r="H79" s="530"/>
      <c r="I79" s="513"/>
      <c r="L79" s="513"/>
    </row>
    <row r="80" spans="1:12">
      <c r="B80" s="470" t="s">
        <v>516</v>
      </c>
      <c r="L80" s="513"/>
    </row>
    <row r="81" spans="1:15">
      <c r="B81" s="536">
        <v>40178</v>
      </c>
      <c r="C81" s="470" t="s">
        <v>551</v>
      </c>
    </row>
    <row r="82" spans="1:15" ht="25.5">
      <c r="C82" s="510" t="s">
        <v>457</v>
      </c>
      <c r="D82" s="511" t="s">
        <v>495</v>
      </c>
      <c r="E82" s="537" t="s">
        <v>497</v>
      </c>
      <c r="F82" s="511" t="s">
        <v>496</v>
      </c>
      <c r="G82" s="511" t="s">
        <v>494</v>
      </c>
      <c r="H82" s="512" t="s">
        <v>498</v>
      </c>
      <c r="I82" s="641"/>
      <c r="K82" s="648" t="s">
        <v>496</v>
      </c>
      <c r="L82" s="642" t="s">
        <v>643</v>
      </c>
      <c r="M82" s="639" t="s">
        <v>644</v>
      </c>
      <c r="N82" s="643" t="s">
        <v>645</v>
      </c>
      <c r="O82" s="647" t="s">
        <v>18</v>
      </c>
    </row>
    <row r="83" spans="1:15">
      <c r="C83" s="538">
        <f t="shared" ref="C83:D85" si="0">SUMIF($G$56:$G$75,$G83,C$56:C$75)</f>
        <v>11463</v>
      </c>
      <c r="D83" s="539">
        <f t="shared" si="0"/>
        <v>2629.21</v>
      </c>
      <c r="E83" s="527">
        <v>26.449259999999999</v>
      </c>
      <c r="F83" s="499">
        <f>SUMIF($G$56:$G$75,$G83,F$56:F$75)</f>
        <v>560.21080000000006</v>
      </c>
      <c r="G83" s="500" t="s">
        <v>505</v>
      </c>
      <c r="H83" s="540">
        <f>+F83*E83</f>
        <v>14817.161104008001</v>
      </c>
      <c r="I83" s="641"/>
      <c r="K83" s="644" t="s">
        <v>642</v>
      </c>
      <c r="L83" s="499">
        <v>122.7642</v>
      </c>
      <c r="M83" s="499">
        <v>294.11009999999999</v>
      </c>
      <c r="N83" s="499">
        <v>143.3365</v>
      </c>
      <c r="O83" s="485">
        <f>SUM(L83:N83)</f>
        <v>560.21080000000006</v>
      </c>
    </row>
    <row r="84" spans="1:15">
      <c r="C84" s="532">
        <f t="shared" si="0"/>
        <v>132.28</v>
      </c>
      <c r="D84" s="533">
        <f t="shared" si="0"/>
        <v>461.88</v>
      </c>
      <c r="E84" s="529">
        <v>22.508620000000001</v>
      </c>
      <c r="F84" s="513">
        <f>SUMIF($G$56:$G$75,$G84,F$56:F$75)</f>
        <v>27.2605</v>
      </c>
      <c r="G84" s="520" t="s">
        <v>506</v>
      </c>
      <c r="H84" s="541">
        <f>+F84*E84</f>
        <v>613.59623551000004</v>
      </c>
      <c r="I84" s="641"/>
      <c r="K84" s="645" t="s">
        <v>646</v>
      </c>
      <c r="L84" s="513"/>
      <c r="M84" s="513">
        <v>17.2926</v>
      </c>
      <c r="N84" s="513">
        <v>9.9678000000000004</v>
      </c>
      <c r="O84" s="488">
        <f>SUM(L84:N84)</f>
        <v>27.260400000000001</v>
      </c>
    </row>
    <row r="85" spans="1:15">
      <c r="C85" s="534">
        <f t="shared" si="0"/>
        <v>9168.65</v>
      </c>
      <c r="D85" s="535">
        <f t="shared" si="0"/>
        <v>2365.54</v>
      </c>
      <c r="E85" s="528">
        <v>16.523240000000001</v>
      </c>
      <c r="F85" s="504">
        <f>SUMIF($G$56:$G$75,$G85,F$56:F$75)</f>
        <v>638.49119999999994</v>
      </c>
      <c r="G85" s="482" t="s">
        <v>511</v>
      </c>
      <c r="H85" s="542">
        <f>+F85*E85</f>
        <v>10549.943335488</v>
      </c>
      <c r="I85" s="641"/>
      <c r="K85" s="646" t="s">
        <v>647</v>
      </c>
      <c r="L85" s="504">
        <v>215.1078</v>
      </c>
      <c r="M85" s="504"/>
      <c r="N85" s="504">
        <v>423.38350000000003</v>
      </c>
      <c r="O85" s="481">
        <f>SUM(L85:N85)</f>
        <v>638.49130000000002</v>
      </c>
    </row>
    <row r="86" spans="1:15">
      <c r="B86" s="531" t="s">
        <v>18</v>
      </c>
      <c r="C86" s="543">
        <f>SUM(C83:C85)</f>
        <v>20763.93</v>
      </c>
      <c r="D86" s="543">
        <f>SUM(D83:D85)</f>
        <v>5456.63</v>
      </c>
      <c r="E86" s="508"/>
      <c r="F86" s="508"/>
      <c r="G86" s="508"/>
      <c r="H86" s="544">
        <f>SUM(H83:H85)</f>
        <v>25980.700675006003</v>
      </c>
      <c r="L86" s="513"/>
    </row>
    <row r="89" spans="1:15" ht="15.75">
      <c r="A89" s="567" t="s">
        <v>553</v>
      </c>
      <c r="B89" s="567"/>
    </row>
    <row r="91" spans="1:15" ht="25.5">
      <c r="B91" s="510" t="s">
        <v>500</v>
      </c>
      <c r="C91" s="511" t="s">
        <v>457</v>
      </c>
      <c r="D91" s="511" t="s">
        <v>495</v>
      </c>
      <c r="E91" s="511" t="s">
        <v>497</v>
      </c>
      <c r="F91" s="511" t="s">
        <v>496</v>
      </c>
      <c r="G91" s="511" t="s">
        <v>494</v>
      </c>
      <c r="H91" s="511" t="s">
        <v>498</v>
      </c>
      <c r="I91" s="512" t="s">
        <v>499</v>
      </c>
    </row>
    <row r="92" spans="1:15">
      <c r="B92" s="497">
        <v>40177</v>
      </c>
      <c r="C92" s="498">
        <v>7695.59</v>
      </c>
      <c r="D92" s="498">
        <v>0</v>
      </c>
      <c r="E92" s="515">
        <f t="shared" ref="E92:E98" si="1">+(C92+D92)/F92</f>
        <v>148.32013105907296</v>
      </c>
      <c r="F92" s="568">
        <v>51.884999999999998</v>
      </c>
      <c r="G92" s="520" t="s">
        <v>555</v>
      </c>
      <c r="H92" s="514">
        <f t="shared" ref="H92:H97" si="2">+E92*F92</f>
        <v>7695.59</v>
      </c>
      <c r="I92" s="569" t="s">
        <v>557</v>
      </c>
      <c r="K92" s="470" t="s">
        <v>462</v>
      </c>
    </row>
    <row r="93" spans="1:15">
      <c r="B93" s="519">
        <v>40177</v>
      </c>
      <c r="C93" s="514">
        <v>352.51</v>
      </c>
      <c r="D93" s="514">
        <v>0</v>
      </c>
      <c r="E93" s="563">
        <f t="shared" si="1"/>
        <v>124.62348865162978</v>
      </c>
      <c r="F93" s="568">
        <v>2.8285999999999998</v>
      </c>
      <c r="G93" s="520" t="s">
        <v>555</v>
      </c>
      <c r="H93" s="514">
        <f t="shared" si="2"/>
        <v>352.51</v>
      </c>
      <c r="I93" s="569" t="s">
        <v>557</v>
      </c>
      <c r="K93" s="470" t="s">
        <v>462</v>
      </c>
    </row>
    <row r="94" spans="1:15">
      <c r="B94" s="519">
        <v>40162</v>
      </c>
      <c r="C94" s="514">
        <v>4016.04</v>
      </c>
      <c r="D94" s="514"/>
      <c r="E94" s="563">
        <f t="shared" si="1"/>
        <v>145.07033095645767</v>
      </c>
      <c r="F94" s="568">
        <f>27.6834</f>
        <v>27.683399999999999</v>
      </c>
      <c r="G94" s="520" t="s">
        <v>555</v>
      </c>
      <c r="H94" s="514">
        <f t="shared" si="2"/>
        <v>4016.04</v>
      </c>
      <c r="I94" s="569" t="s">
        <v>557</v>
      </c>
    </row>
    <row r="95" spans="1:15">
      <c r="B95" s="519">
        <v>40175</v>
      </c>
      <c r="C95" s="514">
        <v>0</v>
      </c>
      <c r="D95" s="514">
        <f>1529.93-118.72</f>
        <v>1411.21</v>
      </c>
      <c r="E95" s="563">
        <f t="shared" si="1"/>
        <v>148.46090725467096</v>
      </c>
      <c r="F95" s="568">
        <f>9.5056</f>
        <v>9.5055999999999994</v>
      </c>
      <c r="G95" s="520" t="s">
        <v>555</v>
      </c>
      <c r="H95" s="514">
        <f t="shared" si="2"/>
        <v>1411.2100000000003</v>
      </c>
      <c r="I95" s="569" t="s">
        <v>557</v>
      </c>
    </row>
    <row r="96" spans="1:15">
      <c r="B96" s="519">
        <v>40162</v>
      </c>
      <c r="C96" s="514">
        <v>183.96</v>
      </c>
      <c r="D96" s="514"/>
      <c r="E96" s="563">
        <f t="shared" si="1"/>
        <v>124.75247524752477</v>
      </c>
      <c r="F96" s="568">
        <v>1.4745999999999999</v>
      </c>
      <c r="G96" s="520" t="s">
        <v>556</v>
      </c>
      <c r="H96" s="514">
        <f t="shared" si="2"/>
        <v>183.96</v>
      </c>
      <c r="I96" s="569" t="s">
        <v>557</v>
      </c>
    </row>
    <row r="97" spans="2:9">
      <c r="B97" s="519">
        <v>40175</v>
      </c>
      <c r="C97" s="514">
        <v>0</v>
      </c>
      <c r="D97" s="514">
        <f>70.08-5.43</f>
        <v>64.650000000000006</v>
      </c>
      <c r="E97" s="563">
        <f t="shared" si="1"/>
        <v>124.87927371064323</v>
      </c>
      <c r="F97" s="568">
        <v>0.51770000000000005</v>
      </c>
      <c r="G97" s="520" t="s">
        <v>556</v>
      </c>
      <c r="H97" s="514">
        <f t="shared" si="2"/>
        <v>64.650000000000006</v>
      </c>
      <c r="I97" s="569" t="s">
        <v>557</v>
      </c>
    </row>
    <row r="98" spans="2:9">
      <c r="B98" s="519">
        <v>40175</v>
      </c>
      <c r="C98" s="514">
        <v>0</v>
      </c>
      <c r="D98" s="514">
        <f>100-7.76</f>
        <v>92.24</v>
      </c>
      <c r="E98" s="563">
        <f t="shared" si="1"/>
        <v>17.867312348668282</v>
      </c>
      <c r="F98" s="568">
        <v>5.1624999999999996</v>
      </c>
      <c r="G98" s="520" t="s">
        <v>554</v>
      </c>
      <c r="H98" s="514"/>
      <c r="I98" s="569" t="s">
        <v>557</v>
      </c>
    </row>
    <row r="99" spans="2:9">
      <c r="B99" s="519"/>
      <c r="C99" s="514"/>
      <c r="D99" s="514"/>
      <c r="E99" s="563"/>
      <c r="F99" s="568"/>
      <c r="G99" s="520" t="s">
        <v>556</v>
      </c>
      <c r="H99" s="514"/>
      <c r="I99" s="521"/>
    </row>
    <row r="100" spans="2:9">
      <c r="B100" s="506" t="s">
        <v>512</v>
      </c>
      <c r="C100" s="507">
        <f>SUM(C92:C99)</f>
        <v>12248.099999999999</v>
      </c>
      <c r="D100" s="507">
        <f>SUM(D92:D99)</f>
        <v>1568.1000000000001</v>
      </c>
      <c r="E100" s="508"/>
      <c r="F100" s="508"/>
      <c r="G100" s="508"/>
      <c r="H100" s="525">
        <f>SUM(H92:H99)</f>
        <v>13723.96</v>
      </c>
      <c r="I100" s="509"/>
    </row>
    <row r="103" spans="2:9" ht="25.5">
      <c r="B103" s="510" t="s">
        <v>500</v>
      </c>
      <c r="C103" s="511" t="s">
        <v>457</v>
      </c>
      <c r="D103" s="511" t="s">
        <v>495</v>
      </c>
      <c r="E103" s="511" t="s">
        <v>497</v>
      </c>
      <c r="F103" s="511" t="s">
        <v>496</v>
      </c>
      <c r="G103" s="511" t="s">
        <v>494</v>
      </c>
      <c r="H103" s="511" t="s">
        <v>498</v>
      </c>
      <c r="I103" s="512" t="s">
        <v>499</v>
      </c>
    </row>
    <row r="104" spans="2:9">
      <c r="B104" s="497">
        <v>40177</v>
      </c>
      <c r="C104" s="498">
        <v>7830.47</v>
      </c>
      <c r="D104" s="498"/>
      <c r="E104" s="515">
        <f>+IF(F104=0,0,(C104+D104)/F104)</f>
        <v>156.96004874890505</v>
      </c>
      <c r="F104" s="568">
        <v>49.888300000000001</v>
      </c>
      <c r="G104" s="520" t="s">
        <v>555</v>
      </c>
      <c r="H104" s="514">
        <f t="shared" ref="H104:H105" si="3">+E104*F104</f>
        <v>7830.47</v>
      </c>
      <c r="I104" s="569" t="s">
        <v>557</v>
      </c>
    </row>
    <row r="105" spans="2:9">
      <c r="B105" s="519">
        <v>40274</v>
      </c>
      <c r="C105" s="514">
        <v>412.13</v>
      </c>
      <c r="D105" s="514"/>
      <c r="E105" s="563">
        <f t="shared" ref="E105:E106" si="4">+IF(F105=0,0,(C105+D105)/F105)</f>
        <v>126.99288201398947</v>
      </c>
      <c r="F105" s="568">
        <v>3.2452999999999999</v>
      </c>
      <c r="G105" s="520" t="s">
        <v>556</v>
      </c>
      <c r="H105" s="514">
        <f t="shared" si="3"/>
        <v>412.13</v>
      </c>
      <c r="I105" s="569" t="s">
        <v>557</v>
      </c>
    </row>
    <row r="106" spans="2:9">
      <c r="B106" s="519">
        <v>40175</v>
      </c>
      <c r="C106" s="514"/>
      <c r="D106" s="514"/>
      <c r="E106" s="563">
        <f t="shared" si="4"/>
        <v>0</v>
      </c>
      <c r="F106" s="568"/>
      <c r="G106" s="520" t="s">
        <v>554</v>
      </c>
      <c r="H106" s="514"/>
      <c r="I106" s="569" t="s">
        <v>557</v>
      </c>
    </row>
    <row r="107" spans="2:9">
      <c r="B107" s="519"/>
      <c r="C107" s="514"/>
      <c r="D107" s="514"/>
      <c r="E107" s="563"/>
      <c r="F107" s="568"/>
      <c r="G107" s="520" t="s">
        <v>556</v>
      </c>
      <c r="H107" s="514"/>
      <c r="I107" s="521"/>
    </row>
    <row r="108" spans="2:9">
      <c r="B108" s="506" t="s">
        <v>558</v>
      </c>
      <c r="C108" s="507">
        <f>SUM(C104:C107)</f>
        <v>8242.6</v>
      </c>
      <c r="D108" s="507"/>
      <c r="E108" s="508"/>
      <c r="F108" s="508"/>
      <c r="G108" s="508"/>
      <c r="H108" s="525">
        <f>SUM(H104:H107)</f>
        <v>8242.6</v>
      </c>
      <c r="I108" s="509"/>
    </row>
    <row r="113" spans="2:8">
      <c r="B113" s="470" t="s">
        <v>516</v>
      </c>
    </row>
    <row r="114" spans="2:8">
      <c r="B114" s="536">
        <v>40275</v>
      </c>
      <c r="C114" s="470" t="s">
        <v>559</v>
      </c>
      <c r="D114" s="640" t="s">
        <v>648</v>
      </c>
    </row>
    <row r="115" spans="2:8" ht="25.5">
      <c r="C115" s="510" t="s">
        <v>457</v>
      </c>
      <c r="D115" s="511" t="s">
        <v>495</v>
      </c>
      <c r="E115" s="537" t="s">
        <v>497</v>
      </c>
      <c r="F115" s="511" t="s">
        <v>496</v>
      </c>
      <c r="G115" s="511" t="s">
        <v>494</v>
      </c>
      <c r="H115" s="512" t="s">
        <v>498</v>
      </c>
    </row>
    <row r="116" spans="2:8">
      <c r="C116" s="538">
        <f t="shared" ref="C116:D118" si="5">SUMIF($G$92:$G$107,$G116,C$92:C$108)</f>
        <v>19894.61</v>
      </c>
      <c r="D116" s="539">
        <f t="shared" si="5"/>
        <v>1411.21</v>
      </c>
      <c r="E116" s="527">
        <v>26.449259999999999</v>
      </c>
      <c r="F116" s="570">
        <f>SUMIF($G$92:$G$107,$G116,F$92:F$108)</f>
        <v>141.79089999999999</v>
      </c>
      <c r="G116" s="500" t="s">
        <v>555</v>
      </c>
      <c r="H116" s="540">
        <f>SUMIF($G$92:$G$107,$G116,H$92:H$108)</f>
        <v>21305.82</v>
      </c>
    </row>
    <row r="117" spans="2:8">
      <c r="C117" s="532">
        <f t="shared" si="5"/>
        <v>596.09</v>
      </c>
      <c r="D117" s="533">
        <f t="shared" si="5"/>
        <v>64.650000000000006</v>
      </c>
      <c r="E117" s="529">
        <v>22.508620000000001</v>
      </c>
      <c r="F117" s="571">
        <f>SUMIF($G$92:$G$107,$G117,F$92:F$108)</f>
        <v>5.2375999999999996</v>
      </c>
      <c r="G117" s="520" t="s">
        <v>556</v>
      </c>
      <c r="H117" s="541">
        <f>SUMIF($G$92:$G$107,$G117,H$92:H$108)</f>
        <v>660.74</v>
      </c>
    </row>
    <row r="118" spans="2:8">
      <c r="C118" s="534">
        <f t="shared" si="5"/>
        <v>0</v>
      </c>
      <c r="D118" s="535">
        <f t="shared" si="5"/>
        <v>92.24</v>
      </c>
      <c r="E118" s="528">
        <v>16.523240000000001</v>
      </c>
      <c r="F118" s="572">
        <f>SUMIF($G$92:$G$107,$G118,F$92:F$108)</f>
        <v>5.1624999999999996</v>
      </c>
      <c r="G118" s="482" t="s">
        <v>554</v>
      </c>
      <c r="H118" s="542">
        <f>SUMIF($G$92:$G$107,$G118,H$92:H$108)</f>
        <v>0</v>
      </c>
    </row>
    <row r="119" spans="2:8">
      <c r="B119" s="531" t="s">
        <v>18</v>
      </c>
      <c r="C119" s="543">
        <f>SUM(C116:C118)</f>
        <v>20490.7</v>
      </c>
      <c r="D119" s="543">
        <f>SUM(D116:D118)</f>
        <v>1568.1000000000001</v>
      </c>
      <c r="E119" s="508"/>
      <c r="F119" s="508"/>
      <c r="G119" s="508"/>
      <c r="H119" s="544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4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583</v>
      </c>
    </row>
    <row r="3" spans="2:8" ht="18.75">
      <c r="F3" s="91"/>
    </row>
    <row r="5" spans="2:8">
      <c r="F5" s="586" t="s">
        <v>578</v>
      </c>
    </row>
    <row r="6" spans="2:8">
      <c r="F6" s="132" t="s">
        <v>579</v>
      </c>
      <c r="G6" s="587" t="s">
        <v>580</v>
      </c>
    </row>
    <row r="7" spans="2:8">
      <c r="F7" s="151" t="s">
        <v>581</v>
      </c>
      <c r="G7" s="588" t="s">
        <v>582</v>
      </c>
    </row>
    <row r="9" spans="2:8">
      <c r="B9" t="s">
        <v>561</v>
      </c>
      <c r="C9" t="s">
        <v>562</v>
      </c>
    </row>
    <row r="12" spans="2:8">
      <c r="C12" s="581" t="s">
        <v>563</v>
      </c>
      <c r="D12" s="582" t="s">
        <v>3</v>
      </c>
      <c r="E12" s="582" t="s">
        <v>569</v>
      </c>
      <c r="F12" s="582" t="s">
        <v>565</v>
      </c>
      <c r="G12" s="582"/>
      <c r="H12" s="583"/>
    </row>
    <row r="13" spans="2:8">
      <c r="C13" s="584" t="s">
        <v>572</v>
      </c>
      <c r="D13" s="589">
        <v>17669.490000000002</v>
      </c>
      <c r="E13" s="585" t="s">
        <v>564</v>
      </c>
      <c r="F13" s="585" t="s">
        <v>566</v>
      </c>
      <c r="G13" s="585" t="s">
        <v>575</v>
      </c>
      <c r="H13" s="590"/>
    </row>
    <row r="15" spans="2:8">
      <c r="C15" t="s">
        <v>568</v>
      </c>
    </row>
    <row r="16" spans="2:8">
      <c r="C16" t="s">
        <v>577</v>
      </c>
    </row>
    <row r="19" spans="2:8">
      <c r="B19" t="s">
        <v>570</v>
      </c>
      <c r="C19" t="s">
        <v>571</v>
      </c>
    </row>
    <row r="21" spans="2:8">
      <c r="C21" s="580"/>
    </row>
    <row r="23" spans="2:8">
      <c r="C23" s="581" t="s">
        <v>563</v>
      </c>
      <c r="D23" s="582" t="s">
        <v>3</v>
      </c>
      <c r="E23" s="582" t="s">
        <v>569</v>
      </c>
      <c r="F23" s="582" t="s">
        <v>565</v>
      </c>
      <c r="G23" s="582"/>
      <c r="H23" s="583"/>
    </row>
    <row r="24" spans="2:8">
      <c r="C24" s="584" t="s">
        <v>572</v>
      </c>
      <c r="D24" s="589">
        <v>45248.74</v>
      </c>
      <c r="E24" s="585" t="s">
        <v>573</v>
      </c>
      <c r="F24" s="585" t="s">
        <v>574</v>
      </c>
      <c r="G24" s="585" t="s">
        <v>567</v>
      </c>
      <c r="H24" s="590"/>
    </row>
    <row r="26" spans="2:8">
      <c r="C26" t="s">
        <v>576</v>
      </c>
    </row>
  </sheetData>
  <phoneticPr fontId="24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9" zoomScaleNormal="100" zoomScaleSheetLayoutView="100" workbookViewId="0">
      <selection activeCell="C26" sqref="C26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79">
        <v>40492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818" t="s">
        <v>47</v>
      </c>
      <c r="C4" s="824"/>
      <c r="D4" s="818" t="s">
        <v>48</v>
      </c>
      <c r="E4" s="824"/>
      <c r="G4" s="277"/>
      <c r="H4" s="277"/>
    </row>
    <row r="5" spans="2:8">
      <c r="B5" s="820" t="s">
        <v>425</v>
      </c>
      <c r="C5" s="821">
        <v>735508.25567500608</v>
      </c>
      <c r="D5" s="820" t="s">
        <v>187</v>
      </c>
      <c r="E5" s="821">
        <v>81790.331692808017</v>
      </c>
      <c r="G5" s="277"/>
      <c r="H5" s="277"/>
    </row>
    <row r="6" spans="2:8">
      <c r="B6" s="825" t="s">
        <v>598</v>
      </c>
      <c r="C6" s="813">
        <v>271577.30500000005</v>
      </c>
      <c r="D6" s="825"/>
      <c r="E6" s="822"/>
      <c r="G6" s="277"/>
      <c r="H6" s="277"/>
    </row>
    <row r="7" spans="2:8">
      <c r="B7" s="825" t="s">
        <v>599</v>
      </c>
      <c r="C7" s="816">
        <v>61950.250000000007</v>
      </c>
      <c r="D7" s="825" t="s">
        <v>306</v>
      </c>
      <c r="E7" s="813">
        <v>-0.32400000000006912</v>
      </c>
      <c r="G7" s="277"/>
      <c r="H7" s="277"/>
    </row>
    <row r="8" spans="2:8">
      <c r="B8" s="825" t="s">
        <v>203</v>
      </c>
      <c r="C8" s="844">
        <v>0</v>
      </c>
      <c r="D8" s="847" t="s">
        <v>416</v>
      </c>
      <c r="E8" s="848">
        <v>4954.1217200000092</v>
      </c>
      <c r="G8" s="277"/>
      <c r="H8" s="277"/>
    </row>
    <row r="9" spans="2:8">
      <c r="B9" s="829" t="s">
        <v>673</v>
      </c>
      <c r="C9" s="849">
        <v>250000</v>
      </c>
      <c r="D9" s="847" t="s">
        <v>595</v>
      </c>
      <c r="E9" s="848">
        <v>45680.033972808</v>
      </c>
      <c r="G9" s="277"/>
      <c r="H9" s="277"/>
    </row>
    <row r="10" spans="2:8">
      <c r="B10" s="829" t="s">
        <v>271</v>
      </c>
      <c r="C10" s="813">
        <v>0</v>
      </c>
      <c r="D10" s="825" t="s">
        <v>276</v>
      </c>
      <c r="E10" s="813">
        <v>0</v>
      </c>
      <c r="G10" s="277"/>
      <c r="H10" s="277"/>
    </row>
    <row r="11" spans="2:8">
      <c r="B11" s="829" t="s">
        <v>777</v>
      </c>
      <c r="C11" s="849">
        <v>6000</v>
      </c>
      <c r="D11" s="825" t="s">
        <v>369</v>
      </c>
      <c r="E11" s="813">
        <v>31156.5</v>
      </c>
      <c r="G11" s="277"/>
      <c r="H11" s="277"/>
    </row>
    <row r="12" spans="2:8">
      <c r="B12" s="829" t="s">
        <v>302</v>
      </c>
      <c r="C12" s="813">
        <v>0</v>
      </c>
      <c r="D12" s="812"/>
      <c r="E12" s="813"/>
      <c r="G12" s="277"/>
      <c r="H12" s="277"/>
    </row>
    <row r="13" spans="2:8" ht="12.6" customHeight="1">
      <c r="B13" s="829" t="s">
        <v>303</v>
      </c>
      <c r="C13" s="813">
        <v>0</v>
      </c>
      <c r="D13" s="812"/>
      <c r="E13" s="813"/>
      <c r="G13" s="277"/>
      <c r="H13" s="277"/>
    </row>
    <row r="14" spans="2:8" ht="12.6" customHeight="1">
      <c r="B14" s="829" t="s">
        <v>304</v>
      </c>
      <c r="C14" s="822">
        <v>6000</v>
      </c>
      <c r="D14" s="825"/>
      <c r="E14" s="813"/>
      <c r="G14" s="277"/>
      <c r="H14" s="277"/>
    </row>
    <row r="15" spans="2:8" ht="12.6" customHeight="1">
      <c r="B15" s="829" t="s">
        <v>305</v>
      </c>
      <c r="C15" s="813">
        <v>25980.700675006003</v>
      </c>
      <c r="D15" s="825"/>
      <c r="E15" s="813"/>
      <c r="G15" s="277"/>
      <c r="H15" s="277"/>
    </row>
    <row r="16" spans="2:8" ht="12.6" customHeight="1">
      <c r="B16" s="829" t="s">
        <v>398</v>
      </c>
      <c r="C16" s="813">
        <v>30000</v>
      </c>
      <c r="D16" s="825"/>
      <c r="E16" s="813"/>
      <c r="G16" s="5"/>
      <c r="H16" s="5"/>
    </row>
    <row r="17" spans="2:8" ht="12.6" customHeight="1">
      <c r="B17" s="829" t="s">
        <v>538</v>
      </c>
      <c r="C17" s="813">
        <v>34000</v>
      </c>
      <c r="D17" s="825"/>
      <c r="E17" s="813"/>
      <c r="G17" s="5"/>
      <c r="H17" s="5"/>
    </row>
    <row r="18" spans="2:8" ht="12.6" customHeight="1">
      <c r="B18" s="829" t="s">
        <v>453</v>
      </c>
      <c r="C18" s="813">
        <v>50000</v>
      </c>
      <c r="D18" s="825"/>
      <c r="E18" s="813"/>
      <c r="G18" s="5"/>
      <c r="H18" s="5"/>
    </row>
    <row r="19" spans="2:8" ht="12.6" customHeight="1">
      <c r="B19" s="845"/>
      <c r="C19" s="815"/>
      <c r="D19" s="846"/>
      <c r="E19" s="815"/>
      <c r="G19" s="5"/>
      <c r="H19" s="5"/>
    </row>
    <row r="20" spans="2:8">
      <c r="B20" s="841" t="s">
        <v>50</v>
      </c>
      <c r="C20" s="842">
        <v>317250</v>
      </c>
      <c r="D20" s="820"/>
      <c r="E20" s="823"/>
      <c r="H20" s="5"/>
    </row>
    <row r="21" spans="2:8">
      <c r="B21" s="825" t="s">
        <v>424</v>
      </c>
      <c r="C21" s="822">
        <v>261000</v>
      </c>
      <c r="D21" s="825" t="s">
        <v>52</v>
      </c>
      <c r="E21" s="822">
        <v>125000</v>
      </c>
    </row>
    <row r="22" spans="2:8">
      <c r="B22" s="825" t="s">
        <v>333</v>
      </c>
      <c r="C22" s="822">
        <v>56250</v>
      </c>
      <c r="D22" s="825"/>
      <c r="E22" s="822"/>
    </row>
    <row r="23" spans="2:8">
      <c r="B23" s="846"/>
      <c r="C23" s="815"/>
      <c r="D23" s="826"/>
      <c r="E23" s="815"/>
    </row>
    <row r="24" spans="2:8">
      <c r="B24" s="820" t="s">
        <v>177</v>
      </c>
      <c r="C24" s="823">
        <v>378800</v>
      </c>
      <c r="D24" s="820" t="s">
        <v>188</v>
      </c>
      <c r="E24" s="823">
        <v>11924</v>
      </c>
    </row>
    <row r="25" spans="2:8">
      <c r="B25" s="825" t="s">
        <v>49</v>
      </c>
      <c r="C25" s="822"/>
      <c r="D25" s="825"/>
      <c r="E25" s="813"/>
    </row>
    <row r="26" spans="2:8">
      <c r="B26" s="825" t="s">
        <v>53</v>
      </c>
      <c r="C26" s="822">
        <v>34200</v>
      </c>
      <c r="D26" s="825" t="s">
        <v>726</v>
      </c>
      <c r="E26" s="822">
        <v>2000</v>
      </c>
    </row>
    <row r="27" spans="2:8">
      <c r="B27" s="825" t="s">
        <v>785</v>
      </c>
      <c r="C27" s="822">
        <v>40300</v>
      </c>
      <c r="D27" s="825" t="s">
        <v>365</v>
      </c>
      <c r="E27" s="822">
        <v>1000</v>
      </c>
    </row>
    <row r="28" spans="2:8">
      <c r="B28" s="825" t="s">
        <v>55</v>
      </c>
      <c r="C28" s="822">
        <v>0</v>
      </c>
      <c r="D28" s="825" t="s">
        <v>456</v>
      </c>
      <c r="E28" s="843">
        <v>0</v>
      </c>
    </row>
    <row r="29" spans="2:8">
      <c r="B29" s="825" t="s">
        <v>623</v>
      </c>
      <c r="C29" s="813">
        <v>3000</v>
      </c>
      <c r="D29" s="825" t="s">
        <v>730</v>
      </c>
      <c r="E29" s="822">
        <v>1500</v>
      </c>
    </row>
    <row r="30" spans="2:8">
      <c r="B30" s="825" t="s">
        <v>621</v>
      </c>
      <c r="C30" s="813">
        <v>139700</v>
      </c>
      <c r="D30" s="825" t="s">
        <v>191</v>
      </c>
      <c r="E30" s="822">
        <v>500</v>
      </c>
    </row>
    <row r="31" spans="2:8">
      <c r="B31" s="825" t="s">
        <v>320</v>
      </c>
      <c r="C31" s="813">
        <v>95000</v>
      </c>
      <c r="D31" s="825" t="s">
        <v>282</v>
      </c>
      <c r="E31" s="822">
        <v>3100</v>
      </c>
    </row>
    <row r="32" spans="2:8">
      <c r="B32" s="825" t="s">
        <v>622</v>
      </c>
      <c r="C32" s="813">
        <v>37600</v>
      </c>
      <c r="D32" s="825" t="s">
        <v>152</v>
      </c>
      <c r="E32" s="822">
        <v>1000</v>
      </c>
    </row>
    <row r="33" spans="2:7">
      <c r="B33" s="852" t="s">
        <v>787</v>
      </c>
      <c r="C33" s="813">
        <v>29000</v>
      </c>
      <c r="D33" s="825" t="s">
        <v>629</v>
      </c>
      <c r="E33" s="822">
        <v>0</v>
      </c>
    </row>
    <row r="34" spans="2:7">
      <c r="B34" s="829"/>
      <c r="C34" s="822"/>
      <c r="D34" s="825" t="s">
        <v>630</v>
      </c>
      <c r="E34" s="822">
        <v>2824</v>
      </c>
    </row>
    <row r="35" spans="2:7">
      <c r="B35" s="840"/>
      <c r="C35" s="815"/>
      <c r="D35" s="825"/>
      <c r="E35" s="822"/>
    </row>
    <row r="36" spans="2:7">
      <c r="B36" s="827" t="s">
        <v>18</v>
      </c>
      <c r="C36" s="817">
        <v>1431558.2556750062</v>
      </c>
      <c r="D36" s="827" t="s">
        <v>18</v>
      </c>
      <c r="E36" s="817">
        <v>218714.33169280802</v>
      </c>
    </row>
    <row r="37" spans="2:7">
      <c r="B37" s="828"/>
      <c r="C37" s="810"/>
      <c r="D37" s="832" t="s">
        <v>178</v>
      </c>
      <c r="E37" s="839">
        <v>1212843.9239821981</v>
      </c>
      <c r="F37" s="12">
        <v>203194429.70813078</v>
      </c>
      <c r="G37" s="12" t="s">
        <v>78</v>
      </c>
    </row>
    <row r="38" spans="2:7">
      <c r="B38" s="828"/>
      <c r="C38" s="810"/>
      <c r="D38" s="832" t="s">
        <v>423</v>
      </c>
      <c r="E38" s="839">
        <v>1161769.7233071921</v>
      </c>
      <c r="F38" s="211" t="s">
        <v>594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605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topLeftCell="A10" zoomScale="80" zoomScaleNormal="80" zoomScaleSheetLayoutView="100" workbookViewId="0">
      <selection activeCell="H19" sqref="H19"/>
    </sheetView>
  </sheetViews>
  <sheetFormatPr baseColWidth="10" defaultRowHeight="12.75"/>
  <cols>
    <col min="1" max="1" width="11.42578125" style="661"/>
    <col min="2" max="2" width="28.140625" style="662" customWidth="1"/>
    <col min="3" max="3" width="11.42578125" style="662"/>
    <col min="4" max="6" width="20.7109375" style="662" customWidth="1"/>
    <col min="7" max="7" width="14.7109375" style="662" customWidth="1"/>
    <col min="8" max="8" width="12.5703125" style="662" customWidth="1"/>
    <col min="9" max="9" width="17.28515625" style="662" customWidth="1"/>
    <col min="10" max="10" width="17.7109375" style="662" bestFit="1" customWidth="1"/>
    <col min="11" max="11" width="23.85546875" style="662" customWidth="1"/>
    <col min="12" max="17" width="11" style="662" customWidth="1"/>
    <col min="18" max="16384" width="11.42578125" style="662"/>
  </cols>
  <sheetData>
    <row r="2" spans="1:11">
      <c r="B2" s="662" t="s">
        <v>677</v>
      </c>
    </row>
    <row r="3" spans="1:11">
      <c r="B3" s="662" t="s">
        <v>678</v>
      </c>
    </row>
    <row r="5" spans="1:11">
      <c r="C5" s="663" t="s">
        <v>679</v>
      </c>
      <c r="D5" s="664" t="s">
        <v>680</v>
      </c>
      <c r="E5" s="664" t="s">
        <v>681</v>
      </c>
      <c r="F5" s="665" t="s">
        <v>682</v>
      </c>
    </row>
    <row r="6" spans="1:11" s="671" customFormat="1" ht="30" customHeight="1">
      <c r="A6" s="666" t="s">
        <v>81</v>
      </c>
      <c r="B6" s="667" t="s">
        <v>683</v>
      </c>
      <c r="C6" s="668">
        <f>+D50</f>
        <v>153794</v>
      </c>
      <c r="D6" s="669" t="s">
        <v>684</v>
      </c>
      <c r="E6" s="669" t="s">
        <v>685</v>
      </c>
      <c r="F6" s="670" t="s">
        <v>686</v>
      </c>
      <c r="G6" s="671" t="s">
        <v>687</v>
      </c>
    </row>
    <row r="7" spans="1:11" s="671" customFormat="1" ht="30" customHeight="1">
      <c r="A7" s="666" t="s">
        <v>83</v>
      </c>
      <c r="B7" s="672" t="s">
        <v>688</v>
      </c>
      <c r="C7" s="673">
        <f>+E50</f>
        <v>317250</v>
      </c>
      <c r="D7" s="674" t="s">
        <v>689</v>
      </c>
      <c r="E7" s="674"/>
      <c r="F7" s="675" t="s">
        <v>690</v>
      </c>
    </row>
    <row r="8" spans="1:11" s="671" customFormat="1" ht="30" customHeight="1">
      <c r="A8" s="666" t="s">
        <v>691</v>
      </c>
      <c r="B8" s="667" t="s">
        <v>692</v>
      </c>
      <c r="C8" s="668">
        <f>+F50</f>
        <v>1073903.1213201676</v>
      </c>
      <c r="D8" s="676"/>
      <c r="E8" s="676"/>
      <c r="F8" s="677"/>
      <c r="H8" s="678" t="s">
        <v>693</v>
      </c>
      <c r="I8" s="679" t="s">
        <v>694</v>
      </c>
      <c r="J8" s="679" t="s">
        <v>681</v>
      </c>
      <c r="K8" s="680" t="s">
        <v>682</v>
      </c>
    </row>
    <row r="9" spans="1:11" s="671" customFormat="1" ht="30" customHeight="1">
      <c r="A9" s="666" t="s">
        <v>660</v>
      </c>
      <c r="B9" s="681" t="s">
        <v>695</v>
      </c>
      <c r="C9" s="682">
        <f>+E86</f>
        <v>191025.93536554399</v>
      </c>
      <c r="D9" s="683" t="s">
        <v>696</v>
      </c>
      <c r="E9" s="683"/>
      <c r="F9" s="684" t="s">
        <v>697</v>
      </c>
      <c r="H9" s="685">
        <v>80000</v>
      </c>
      <c r="I9" s="669" t="s">
        <v>698</v>
      </c>
      <c r="J9" s="669" t="s">
        <v>699</v>
      </c>
      <c r="K9" s="670" t="s">
        <v>700</v>
      </c>
    </row>
    <row r="10" spans="1:11" s="671" customFormat="1" ht="30" customHeight="1">
      <c r="A10" s="666" t="s">
        <v>701</v>
      </c>
      <c r="B10" s="686" t="s">
        <v>693</v>
      </c>
      <c r="C10" s="687">
        <f>+C8-C9</f>
        <v>882877.18595462362</v>
      </c>
      <c r="D10" s="688"/>
      <c r="E10" s="688"/>
      <c r="F10" s="689" t="s">
        <v>702</v>
      </c>
      <c r="H10" s="690">
        <v>200000</v>
      </c>
      <c r="I10" s="683" t="s">
        <v>703</v>
      </c>
      <c r="J10" s="683"/>
      <c r="K10" s="684" t="s">
        <v>704</v>
      </c>
    </row>
    <row r="11" spans="1:11" s="671" customFormat="1" ht="30" customHeight="1">
      <c r="A11" s="666" t="s">
        <v>664</v>
      </c>
      <c r="B11" s="681" t="s">
        <v>705</v>
      </c>
      <c r="C11" s="682">
        <f>+F86</f>
        <v>130000</v>
      </c>
      <c r="D11" s="683" t="s">
        <v>706</v>
      </c>
      <c r="E11" s="683"/>
      <c r="F11" s="684" t="s">
        <v>707</v>
      </c>
      <c r="G11" s="691"/>
      <c r="H11" s="692">
        <f>+C10-H10-H9</f>
        <v>602877.18595462362</v>
      </c>
      <c r="I11" s="693" t="s">
        <v>708</v>
      </c>
      <c r="J11" s="693" t="s">
        <v>709</v>
      </c>
      <c r="K11" s="694" t="s">
        <v>710</v>
      </c>
    </row>
    <row r="12" spans="1:11" s="671" customFormat="1" ht="30" customHeight="1">
      <c r="A12" s="666" t="s">
        <v>711</v>
      </c>
      <c r="B12" s="672" t="s">
        <v>712</v>
      </c>
      <c r="C12" s="673">
        <f>+C10-C11</f>
        <v>752877.18595462362</v>
      </c>
      <c r="D12" s="693"/>
      <c r="E12" s="693"/>
      <c r="F12" s="694"/>
      <c r="G12" s="691"/>
      <c r="H12" s="691"/>
    </row>
    <row r="13" spans="1:11" s="671" customFormat="1" ht="30" customHeight="1">
      <c r="A13" s="666" t="s">
        <v>713</v>
      </c>
      <c r="B13" s="672" t="s">
        <v>714</v>
      </c>
      <c r="C13" s="673">
        <f>+C6+C7+C12</f>
        <v>1223921.1859546236</v>
      </c>
      <c r="D13" s="693"/>
      <c r="E13" s="693"/>
      <c r="F13" s="694"/>
      <c r="G13" s="691"/>
      <c r="H13" s="691"/>
    </row>
    <row r="14" spans="1:11">
      <c r="B14" s="695"/>
      <c r="C14" s="696"/>
      <c r="D14" s="696"/>
      <c r="E14" s="696"/>
      <c r="F14" s="696"/>
      <c r="G14" s="697"/>
      <c r="H14" s="697"/>
    </row>
    <row r="15" spans="1:11" ht="18.75">
      <c r="B15" s="698" t="s">
        <v>92</v>
      </c>
      <c r="C15" s="698"/>
      <c r="D15" s="698"/>
      <c r="E15" s="698"/>
      <c r="F15" s="698"/>
      <c r="G15" s="697"/>
      <c r="H15" s="697"/>
    </row>
    <row r="16" spans="1:11">
      <c r="B16" s="695">
        <v>40400</v>
      </c>
      <c r="C16" s="696"/>
      <c r="D16" s="696"/>
      <c r="E16" s="696"/>
      <c r="F16" s="696"/>
      <c r="G16" s="697"/>
      <c r="H16" s="697"/>
    </row>
    <row r="17" spans="2:12">
      <c r="G17" s="697"/>
      <c r="H17" s="697"/>
    </row>
    <row r="18" spans="2:12">
      <c r="B18" s="699" t="s">
        <v>47</v>
      </c>
      <c r="C18" s="700"/>
      <c r="D18" s="701" t="s">
        <v>715</v>
      </c>
      <c r="E18" s="702" t="s">
        <v>688</v>
      </c>
      <c r="F18" s="703" t="s">
        <v>692</v>
      </c>
      <c r="G18" s="697"/>
      <c r="H18" s="697"/>
    </row>
    <row r="19" spans="2:12">
      <c r="B19" s="704" t="s">
        <v>425</v>
      </c>
      <c r="C19" s="705">
        <v>839187.12132016744</v>
      </c>
      <c r="D19" s="706"/>
      <c r="E19" s="707"/>
      <c r="F19" s="708"/>
      <c r="G19" s="697"/>
      <c r="H19" s="697"/>
    </row>
    <row r="20" spans="2:12">
      <c r="B20" s="709" t="s">
        <v>598</v>
      </c>
      <c r="C20" s="710">
        <v>288867.84000000008</v>
      </c>
      <c r="D20" s="706"/>
      <c r="E20" s="707"/>
      <c r="F20" s="708">
        <f>+C20</f>
        <v>288867.84000000008</v>
      </c>
      <c r="G20" s="697"/>
      <c r="H20" s="697"/>
    </row>
    <row r="21" spans="2:12">
      <c r="B21" s="709" t="s">
        <v>599</v>
      </c>
      <c r="C21" s="662">
        <v>89794</v>
      </c>
      <c r="D21" s="706">
        <f>+C21</f>
        <v>89794</v>
      </c>
      <c r="E21" s="707"/>
      <c r="F21" s="708"/>
      <c r="G21" s="697"/>
      <c r="H21" s="697"/>
    </row>
    <row r="22" spans="2:12">
      <c r="B22" s="709" t="s">
        <v>203</v>
      </c>
      <c r="C22" s="711">
        <v>30000</v>
      </c>
      <c r="D22" s="706"/>
      <c r="E22" s="707"/>
      <c r="F22" s="708">
        <f>+C22</f>
        <v>30000</v>
      </c>
      <c r="G22" s="697"/>
    </row>
    <row r="23" spans="2:12">
      <c r="B23" s="712" t="s">
        <v>673</v>
      </c>
      <c r="C23" s="713">
        <v>250000</v>
      </c>
      <c r="D23" s="706"/>
      <c r="E23" s="707"/>
      <c r="F23" s="708">
        <f>+C23</f>
        <v>250000</v>
      </c>
      <c r="G23" s="697"/>
    </row>
    <row r="24" spans="2:12">
      <c r="B24" s="712" t="s">
        <v>271</v>
      </c>
      <c r="C24" s="710">
        <v>28562</v>
      </c>
      <c r="D24" s="706"/>
      <c r="E24" s="707"/>
      <c r="F24" s="708">
        <f>+C24</f>
        <v>28562</v>
      </c>
      <c r="G24" s="697"/>
    </row>
    <row r="25" spans="2:12">
      <c r="B25" s="712" t="s">
        <v>301</v>
      </c>
      <c r="C25" s="710">
        <v>0</v>
      </c>
      <c r="D25" s="706"/>
      <c r="E25" s="707"/>
      <c r="F25" s="708">
        <f>+C25</f>
        <v>0</v>
      </c>
      <c r="G25" s="697"/>
      <c r="H25" s="697"/>
    </row>
    <row r="26" spans="2:12">
      <c r="B26" s="712" t="s">
        <v>302</v>
      </c>
      <c r="C26" s="710">
        <v>0</v>
      </c>
      <c r="D26" s="706"/>
      <c r="E26" s="707"/>
      <c r="F26" s="708">
        <f t="shared" ref="F26:F49" si="0">+C26</f>
        <v>0</v>
      </c>
      <c r="G26" s="697"/>
      <c r="H26" s="697"/>
    </row>
    <row r="27" spans="2:12" ht="12.6" customHeight="1">
      <c r="B27" s="712" t="s">
        <v>303</v>
      </c>
      <c r="C27" s="710">
        <v>5982.5806451612898</v>
      </c>
      <c r="D27" s="706"/>
      <c r="E27" s="707"/>
      <c r="F27" s="708">
        <f t="shared" si="0"/>
        <v>5982.5806451612898</v>
      </c>
      <c r="G27" s="697"/>
      <c r="H27" s="697"/>
    </row>
    <row r="28" spans="2:12" ht="12.6" customHeight="1">
      <c r="B28" s="712" t="s">
        <v>304</v>
      </c>
      <c r="C28" s="714">
        <v>6000</v>
      </c>
      <c r="D28" s="706"/>
      <c r="E28" s="707"/>
      <c r="F28" s="708">
        <f t="shared" si="0"/>
        <v>6000</v>
      </c>
      <c r="G28" s="697"/>
      <c r="H28" s="697"/>
    </row>
    <row r="29" spans="2:12" ht="12.6" customHeight="1">
      <c r="B29" s="712" t="s">
        <v>305</v>
      </c>
      <c r="C29" s="710">
        <v>25980.700675006003</v>
      </c>
      <c r="D29" s="706"/>
      <c r="E29" s="707"/>
      <c r="F29" s="708">
        <f t="shared" si="0"/>
        <v>25980.700675006003</v>
      </c>
      <c r="G29" s="697"/>
      <c r="H29" s="697"/>
    </row>
    <row r="30" spans="2:12" ht="12.6" customHeight="1">
      <c r="B30" s="712" t="s">
        <v>398</v>
      </c>
      <c r="C30" s="710">
        <v>30000</v>
      </c>
      <c r="D30" s="706">
        <f>+C30</f>
        <v>30000</v>
      </c>
      <c r="E30" s="707"/>
      <c r="F30" s="708"/>
      <c r="G30" s="697"/>
      <c r="H30" s="697"/>
    </row>
    <row r="31" spans="2:12" ht="12.6" customHeight="1">
      <c r="B31" s="712" t="s">
        <v>538</v>
      </c>
      <c r="C31" s="710">
        <v>34000</v>
      </c>
      <c r="D31" s="706">
        <f>+C31</f>
        <v>34000</v>
      </c>
      <c r="E31" s="707"/>
      <c r="F31" s="708"/>
      <c r="G31" s="710"/>
      <c r="H31" s="710"/>
    </row>
    <row r="32" spans="2:12" ht="12.6" customHeight="1">
      <c r="B32" s="712" t="s">
        <v>453</v>
      </c>
      <c r="C32" s="710">
        <v>50000</v>
      </c>
      <c r="D32" s="706"/>
      <c r="E32" s="707"/>
      <c r="F32" s="708">
        <f t="shared" si="0"/>
        <v>50000</v>
      </c>
      <c r="G32" s="710"/>
      <c r="H32" s="710"/>
    </row>
    <row r="33" spans="2:8" ht="12.6" customHeight="1">
      <c r="B33" s="715"/>
      <c r="C33" s="716">
        <v>0</v>
      </c>
      <c r="D33" s="706"/>
      <c r="E33" s="707"/>
      <c r="F33" s="708"/>
      <c r="G33" s="710"/>
      <c r="H33" s="710"/>
    </row>
    <row r="34" spans="2:8">
      <c r="B34" s="717" t="s">
        <v>50</v>
      </c>
      <c r="C34" s="718">
        <v>317250</v>
      </c>
      <c r="D34" s="706"/>
      <c r="E34" s="707"/>
      <c r="F34" s="708"/>
      <c r="G34" s="710"/>
      <c r="H34" s="710"/>
    </row>
    <row r="35" spans="2:8">
      <c r="B35" s="709" t="s">
        <v>424</v>
      </c>
      <c r="C35" s="714">
        <v>261000</v>
      </c>
      <c r="D35" s="706"/>
      <c r="E35" s="707">
        <f>+C35</f>
        <v>261000</v>
      </c>
      <c r="F35" s="708"/>
      <c r="G35" s="710"/>
      <c r="H35" s="710"/>
    </row>
    <row r="36" spans="2:8">
      <c r="B36" s="709" t="s">
        <v>333</v>
      </c>
      <c r="C36" s="714">
        <v>56250</v>
      </c>
      <c r="D36" s="706"/>
      <c r="E36" s="707">
        <f>+C36</f>
        <v>56250</v>
      </c>
      <c r="F36" s="708"/>
      <c r="G36" s="710"/>
      <c r="H36" s="710"/>
    </row>
    <row r="37" spans="2:8">
      <c r="B37" s="719"/>
      <c r="C37" s="716">
        <v>0</v>
      </c>
      <c r="D37" s="706"/>
      <c r="E37" s="707"/>
      <c r="F37" s="708"/>
      <c r="G37" s="710"/>
      <c r="H37" s="710"/>
    </row>
    <row r="38" spans="2:8">
      <c r="B38" s="704" t="s">
        <v>177</v>
      </c>
      <c r="C38" s="720">
        <v>388510</v>
      </c>
      <c r="D38" s="706"/>
      <c r="E38" s="707"/>
      <c r="F38" s="708"/>
      <c r="G38" s="710"/>
      <c r="H38" s="710"/>
    </row>
    <row r="39" spans="2:8">
      <c r="B39" s="709" t="s">
        <v>49</v>
      </c>
      <c r="C39" s="714">
        <v>0</v>
      </c>
      <c r="D39" s="706"/>
      <c r="E39" s="707"/>
      <c r="F39" s="708">
        <f t="shared" si="0"/>
        <v>0</v>
      </c>
      <c r="G39" s="710"/>
      <c r="H39" s="710"/>
    </row>
    <row r="40" spans="2:8">
      <c r="B40" s="709" t="s">
        <v>53</v>
      </c>
      <c r="C40" s="714">
        <v>3800</v>
      </c>
      <c r="D40" s="706"/>
      <c r="E40" s="707"/>
      <c r="F40" s="708">
        <f t="shared" si="0"/>
        <v>3800</v>
      </c>
      <c r="G40" s="710"/>
      <c r="H40" s="710"/>
    </row>
    <row r="41" spans="2:8">
      <c r="B41" s="709" t="s">
        <v>54</v>
      </c>
      <c r="C41" s="714">
        <v>1000</v>
      </c>
      <c r="D41" s="706"/>
      <c r="E41" s="707"/>
      <c r="F41" s="708">
        <f t="shared" si="0"/>
        <v>1000</v>
      </c>
      <c r="G41" s="710"/>
      <c r="H41" s="710"/>
    </row>
    <row r="42" spans="2:8">
      <c r="B42" s="709" t="s">
        <v>55</v>
      </c>
      <c r="C42" s="714">
        <v>0</v>
      </c>
      <c r="D42" s="706"/>
      <c r="E42" s="707"/>
      <c r="F42" s="708">
        <f t="shared" si="0"/>
        <v>0</v>
      </c>
      <c r="G42" s="710"/>
    </row>
    <row r="43" spans="2:8">
      <c r="B43" s="709" t="s">
        <v>623</v>
      </c>
      <c r="C43" s="710">
        <v>7850</v>
      </c>
      <c r="D43" s="706"/>
      <c r="E43" s="707"/>
      <c r="F43" s="708">
        <f t="shared" si="0"/>
        <v>7850</v>
      </c>
      <c r="G43" s="710"/>
    </row>
    <row r="44" spans="2:8">
      <c r="B44" s="709" t="s">
        <v>621</v>
      </c>
      <c r="C44" s="710">
        <v>139700</v>
      </c>
      <c r="D44" s="706"/>
      <c r="E44" s="707"/>
      <c r="F44" s="708">
        <f t="shared" si="0"/>
        <v>139700</v>
      </c>
      <c r="G44" s="710"/>
    </row>
    <row r="45" spans="2:8">
      <c r="B45" s="709" t="s">
        <v>320</v>
      </c>
      <c r="C45" s="710">
        <v>95000</v>
      </c>
      <c r="D45" s="706"/>
      <c r="E45" s="707"/>
      <c r="F45" s="708">
        <f t="shared" si="0"/>
        <v>95000</v>
      </c>
    </row>
    <row r="46" spans="2:8">
      <c r="B46" s="709" t="s">
        <v>622</v>
      </c>
      <c r="C46" s="710">
        <v>140000</v>
      </c>
      <c r="D46" s="706"/>
      <c r="E46" s="707"/>
      <c r="F46" s="708">
        <f t="shared" si="0"/>
        <v>140000</v>
      </c>
    </row>
    <row r="47" spans="2:8">
      <c r="B47" s="712" t="s">
        <v>624</v>
      </c>
      <c r="C47" s="710">
        <v>1160</v>
      </c>
      <c r="D47" s="706"/>
      <c r="E47" s="707"/>
      <c r="F47" s="708">
        <f t="shared" si="0"/>
        <v>1160</v>
      </c>
    </row>
    <row r="48" spans="2:8">
      <c r="B48" s="712"/>
      <c r="C48" s="714">
        <v>0</v>
      </c>
      <c r="D48" s="706"/>
      <c r="E48" s="707"/>
      <c r="F48" s="708">
        <f t="shared" si="0"/>
        <v>0</v>
      </c>
    </row>
    <row r="49" spans="2:6">
      <c r="B49" s="721"/>
      <c r="C49" s="716">
        <v>0</v>
      </c>
      <c r="D49" s="706"/>
      <c r="E49" s="707"/>
      <c r="F49" s="708">
        <f t="shared" si="0"/>
        <v>0</v>
      </c>
    </row>
    <row r="50" spans="2:6">
      <c r="B50" s="722" t="s">
        <v>18</v>
      </c>
      <c r="C50" s="723">
        <v>1544947.1213201676</v>
      </c>
      <c r="D50" s="724">
        <f>SUM(D20:D49)</f>
        <v>153794</v>
      </c>
      <c r="E50" s="725">
        <f t="shared" ref="E50:F50" si="1">SUM(E20:E49)</f>
        <v>317250</v>
      </c>
      <c r="F50" s="726">
        <f t="shared" si="1"/>
        <v>1073903.1213201676</v>
      </c>
    </row>
    <row r="51" spans="2:6">
      <c r="B51" s="727"/>
    </row>
    <row r="52" spans="2:6">
      <c r="B52" s="727"/>
      <c r="F52" s="718"/>
    </row>
    <row r="53" spans="2:6">
      <c r="B53" s="727"/>
      <c r="F53" s="718"/>
    </row>
    <row r="54" spans="2:6">
      <c r="B54" s="699" t="s">
        <v>48</v>
      </c>
      <c r="C54" s="728"/>
      <c r="D54" s="701"/>
      <c r="E54" s="702" t="s">
        <v>716</v>
      </c>
      <c r="F54" s="703" t="s">
        <v>717</v>
      </c>
    </row>
    <row r="55" spans="2:6">
      <c r="B55" s="704" t="s">
        <v>187</v>
      </c>
      <c r="C55" s="729">
        <v>180801.93536554399</v>
      </c>
      <c r="D55" s="706"/>
      <c r="E55" s="707"/>
      <c r="F55" s="708"/>
    </row>
    <row r="56" spans="2:6">
      <c r="B56" s="709"/>
      <c r="C56" s="730">
        <v>0</v>
      </c>
      <c r="D56" s="706"/>
      <c r="E56" s="707">
        <f>+C56</f>
        <v>0</v>
      </c>
      <c r="F56" s="708"/>
    </row>
    <row r="57" spans="2:6">
      <c r="B57" s="709" t="s">
        <v>306</v>
      </c>
      <c r="C57" s="708">
        <v>-0.32400000000006912</v>
      </c>
      <c r="D57" s="706"/>
      <c r="E57" s="707">
        <f t="shared" ref="E57:E85" si="2">+C57</f>
        <v>-0.32400000000006912</v>
      </c>
      <c r="F57" s="708"/>
    </row>
    <row r="58" spans="2:6">
      <c r="B58" s="731" t="s">
        <v>416</v>
      </c>
      <c r="C58" s="732">
        <v>12119.12172000001</v>
      </c>
      <c r="D58" s="706"/>
      <c r="E58" s="707">
        <f t="shared" si="2"/>
        <v>12119.12172000001</v>
      </c>
      <c r="F58" s="708"/>
    </row>
    <row r="59" spans="2:6">
      <c r="B59" s="731" t="s">
        <v>595</v>
      </c>
      <c r="C59" s="732">
        <v>137128.63764554399</v>
      </c>
      <c r="D59" s="706"/>
      <c r="E59" s="707">
        <f t="shared" si="2"/>
        <v>137128.63764554399</v>
      </c>
      <c r="F59" s="708"/>
    </row>
    <row r="60" spans="2:6">
      <c r="B60" s="709" t="s">
        <v>276</v>
      </c>
      <c r="C60" s="708">
        <v>28562</v>
      </c>
      <c r="D60" s="706"/>
      <c r="E60" s="707">
        <f t="shared" si="2"/>
        <v>28562</v>
      </c>
      <c r="F60" s="708"/>
    </row>
    <row r="61" spans="2:6">
      <c r="B61" s="709" t="s">
        <v>369</v>
      </c>
      <c r="C61" s="708">
        <v>2992.5</v>
      </c>
      <c r="D61" s="706"/>
      <c r="E61" s="707">
        <f t="shared" si="2"/>
        <v>2992.5</v>
      </c>
      <c r="F61" s="708"/>
    </row>
    <row r="62" spans="2:6">
      <c r="B62" s="706"/>
      <c r="C62" s="708">
        <v>0</v>
      </c>
      <c r="D62" s="706"/>
      <c r="E62" s="707">
        <f t="shared" si="2"/>
        <v>0</v>
      </c>
      <c r="F62" s="708"/>
    </row>
    <row r="63" spans="2:6">
      <c r="B63" s="706"/>
      <c r="C63" s="708">
        <v>0</v>
      </c>
      <c r="D63" s="706"/>
      <c r="E63" s="707">
        <f t="shared" si="2"/>
        <v>0</v>
      </c>
      <c r="F63" s="708"/>
    </row>
    <row r="64" spans="2:6">
      <c r="B64" s="709"/>
      <c r="C64" s="708">
        <v>0</v>
      </c>
      <c r="D64" s="706"/>
      <c r="E64" s="707">
        <f t="shared" si="2"/>
        <v>0</v>
      </c>
      <c r="F64" s="708"/>
    </row>
    <row r="65" spans="2:6">
      <c r="B65" s="709"/>
      <c r="C65" s="708">
        <v>0</v>
      </c>
      <c r="D65" s="706"/>
      <c r="E65" s="707">
        <f t="shared" si="2"/>
        <v>0</v>
      </c>
      <c r="F65" s="708"/>
    </row>
    <row r="66" spans="2:6">
      <c r="B66" s="709"/>
      <c r="C66" s="708">
        <v>0</v>
      </c>
      <c r="D66" s="706"/>
      <c r="E66" s="707">
        <f t="shared" si="2"/>
        <v>0</v>
      </c>
      <c r="F66" s="708"/>
    </row>
    <row r="67" spans="2:6">
      <c r="B67" s="709"/>
      <c r="C67" s="708">
        <v>0</v>
      </c>
      <c r="D67" s="706"/>
      <c r="E67" s="707">
        <f t="shared" si="2"/>
        <v>0</v>
      </c>
      <c r="F67" s="708"/>
    </row>
    <row r="68" spans="2:6">
      <c r="B68" s="709"/>
      <c r="C68" s="708">
        <v>0</v>
      </c>
      <c r="D68" s="706"/>
      <c r="E68" s="707">
        <f t="shared" si="2"/>
        <v>0</v>
      </c>
      <c r="F68" s="708"/>
    </row>
    <row r="69" spans="2:6">
      <c r="B69" s="719"/>
      <c r="C69" s="733">
        <v>0</v>
      </c>
      <c r="D69" s="706"/>
      <c r="E69" s="707">
        <f t="shared" si="2"/>
        <v>0</v>
      </c>
      <c r="F69" s="708"/>
    </row>
    <row r="70" spans="2:6">
      <c r="B70" s="704"/>
      <c r="C70" s="734">
        <v>0</v>
      </c>
      <c r="D70" s="706"/>
      <c r="E70" s="707"/>
      <c r="F70" s="708"/>
    </row>
    <row r="71" spans="2:6">
      <c r="B71" s="709" t="s">
        <v>52</v>
      </c>
      <c r="C71" s="730">
        <v>130000</v>
      </c>
      <c r="D71" s="706"/>
      <c r="E71" s="707"/>
      <c r="F71" s="708">
        <f>+C71</f>
        <v>130000</v>
      </c>
    </row>
    <row r="72" spans="2:6">
      <c r="B72" s="709"/>
      <c r="C72" s="730">
        <v>0</v>
      </c>
      <c r="D72" s="706"/>
      <c r="E72" s="707">
        <f t="shared" si="2"/>
        <v>0</v>
      </c>
      <c r="F72" s="708"/>
    </row>
    <row r="73" spans="2:6">
      <c r="B73" s="735"/>
      <c r="C73" s="733">
        <v>0</v>
      </c>
      <c r="D73" s="706"/>
      <c r="E73" s="707">
        <f t="shared" si="2"/>
        <v>0</v>
      </c>
      <c r="F73" s="708"/>
    </row>
    <row r="74" spans="2:6">
      <c r="B74" s="704" t="s">
        <v>188</v>
      </c>
      <c r="C74" s="734">
        <v>10224</v>
      </c>
      <c r="D74" s="706"/>
      <c r="E74" s="707"/>
      <c r="F74" s="708"/>
    </row>
    <row r="75" spans="2:6">
      <c r="B75" s="709"/>
      <c r="C75" s="708">
        <v>0</v>
      </c>
      <c r="D75" s="706"/>
      <c r="E75" s="707">
        <f t="shared" si="2"/>
        <v>0</v>
      </c>
      <c r="F75" s="708"/>
    </row>
    <row r="76" spans="2:6">
      <c r="B76" s="709" t="s">
        <v>675</v>
      </c>
      <c r="C76" s="730">
        <v>2300</v>
      </c>
      <c r="D76" s="706"/>
      <c r="E76" s="707">
        <f t="shared" si="2"/>
        <v>2300</v>
      </c>
      <c r="F76" s="708"/>
    </row>
    <row r="77" spans="2:6">
      <c r="B77" s="709" t="s">
        <v>365</v>
      </c>
      <c r="C77" s="730">
        <v>0</v>
      </c>
      <c r="D77" s="706"/>
      <c r="E77" s="707">
        <f t="shared" si="2"/>
        <v>0</v>
      </c>
      <c r="F77" s="708"/>
    </row>
    <row r="78" spans="2:6">
      <c r="B78" s="709" t="s">
        <v>456</v>
      </c>
      <c r="C78" s="736">
        <v>0</v>
      </c>
      <c r="D78" s="706"/>
      <c r="E78" s="707">
        <f t="shared" si="2"/>
        <v>0</v>
      </c>
      <c r="F78" s="708"/>
    </row>
    <row r="79" spans="2:6">
      <c r="B79" s="709" t="s">
        <v>603</v>
      </c>
      <c r="C79" s="730">
        <v>0</v>
      </c>
      <c r="D79" s="706"/>
      <c r="E79" s="707">
        <f t="shared" si="2"/>
        <v>0</v>
      </c>
      <c r="F79" s="708"/>
    </row>
    <row r="80" spans="2:6">
      <c r="B80" s="709" t="s">
        <v>191</v>
      </c>
      <c r="C80" s="730">
        <v>500</v>
      </c>
      <c r="D80" s="706"/>
      <c r="E80" s="707">
        <f t="shared" si="2"/>
        <v>500</v>
      </c>
      <c r="F80" s="708"/>
    </row>
    <row r="81" spans="2:6">
      <c r="B81" s="709" t="s">
        <v>282</v>
      </c>
      <c r="C81" s="730">
        <v>600</v>
      </c>
      <c r="D81" s="706"/>
      <c r="E81" s="707">
        <f t="shared" si="2"/>
        <v>600</v>
      </c>
      <c r="F81" s="708"/>
    </row>
    <row r="82" spans="2:6">
      <c r="B82" s="709" t="s">
        <v>152</v>
      </c>
      <c r="C82" s="730">
        <v>1000</v>
      </c>
      <c r="D82" s="706"/>
      <c r="E82" s="707">
        <f t="shared" si="2"/>
        <v>1000</v>
      </c>
      <c r="F82" s="708"/>
    </row>
    <row r="83" spans="2:6">
      <c r="B83" s="709" t="s">
        <v>629</v>
      </c>
      <c r="C83" s="730">
        <v>0</v>
      </c>
      <c r="D83" s="706"/>
      <c r="E83" s="707">
        <f t="shared" si="2"/>
        <v>0</v>
      </c>
      <c r="F83" s="708"/>
    </row>
    <row r="84" spans="2:6">
      <c r="B84" s="709" t="s">
        <v>630</v>
      </c>
      <c r="C84" s="730">
        <v>5824</v>
      </c>
      <c r="D84" s="706"/>
      <c r="E84" s="707">
        <f t="shared" si="2"/>
        <v>5824</v>
      </c>
      <c r="F84" s="708"/>
    </row>
    <row r="85" spans="2:6">
      <c r="B85" s="709"/>
      <c r="C85" s="730">
        <v>0</v>
      </c>
      <c r="D85" s="706"/>
      <c r="E85" s="707">
        <f t="shared" si="2"/>
        <v>0</v>
      </c>
      <c r="F85" s="708"/>
    </row>
    <row r="86" spans="2:6">
      <c r="B86" s="722" t="s">
        <v>18</v>
      </c>
      <c r="C86" s="726">
        <v>321025.93536554399</v>
      </c>
      <c r="D86" s="724">
        <f>SUM(D56:D85)</f>
        <v>0</v>
      </c>
      <c r="E86" s="725">
        <f t="shared" ref="E86:F86" si="3">SUM(E56:E85)</f>
        <v>191025.93536554399</v>
      </c>
      <c r="F86" s="726">
        <f t="shared" si="3"/>
        <v>130000</v>
      </c>
    </row>
    <row r="87" spans="2:6">
      <c r="B87" s="727"/>
      <c r="F87" s="718"/>
    </row>
    <row r="88" spans="2:6">
      <c r="B88" s="727"/>
      <c r="F88" s="718"/>
    </row>
    <row r="89" spans="2:6">
      <c r="B89" s="727"/>
      <c r="F89" s="718"/>
    </row>
    <row r="90" spans="2:6">
      <c r="B90" s="727"/>
      <c r="F90" s="718"/>
    </row>
    <row r="91" spans="2:6">
      <c r="B91" s="727"/>
      <c r="F91" s="718"/>
    </row>
    <row r="92" spans="2:6">
      <c r="B92" s="727"/>
      <c r="F92" s="718"/>
    </row>
    <row r="93" spans="2:6">
      <c r="B93" s="727"/>
      <c r="F93" s="718"/>
    </row>
    <row r="94" spans="2:6">
      <c r="B94" s="727">
        <v>0</v>
      </c>
      <c r="F94" s="718"/>
    </row>
    <row r="95" spans="2:6">
      <c r="B95" s="727"/>
      <c r="F95" s="718"/>
    </row>
    <row r="96" spans="2:6">
      <c r="B96" s="727"/>
      <c r="F96" s="718"/>
    </row>
    <row r="97" spans="2:6">
      <c r="B97" s="727"/>
      <c r="F97" s="718"/>
    </row>
    <row r="98" spans="2:6">
      <c r="B98" s="727"/>
      <c r="F98" s="718"/>
    </row>
    <row r="99" spans="2:6">
      <c r="B99" s="727"/>
      <c r="F99" s="718"/>
    </row>
    <row r="100" spans="2:6">
      <c r="B100" s="727"/>
      <c r="F100" s="718"/>
    </row>
    <row r="101" spans="2:6">
      <c r="B101" s="727"/>
      <c r="F101" s="718"/>
    </row>
    <row r="102" spans="2:6">
      <c r="B102" s="727"/>
      <c r="F102" s="718"/>
    </row>
    <row r="103" spans="2:6">
      <c r="B103" s="727"/>
      <c r="F103" s="718"/>
    </row>
    <row r="104" spans="2:6">
      <c r="B104" s="727"/>
      <c r="F104" s="718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286"/>
  <sheetViews>
    <sheetView showGridLines="0" topLeftCell="A35" zoomScale="80" zoomScaleNormal="80" workbookViewId="0">
      <selection activeCell="M44" sqref="M44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0">
      <c r="B1" s="105" t="s">
        <v>58</v>
      </c>
    </row>
    <row r="5" spans="1:40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G5" s="805" t="s">
        <v>793</v>
      </c>
      <c r="AH5" s="853"/>
      <c r="AI5" s="853"/>
      <c r="AJ5" s="854"/>
      <c r="AK5" s="630"/>
      <c r="AL5" s="630"/>
      <c r="AM5" s="630"/>
      <c r="AN5" s="631"/>
    </row>
    <row r="6" spans="1:40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F6" s="251"/>
      <c r="AG6" s="279" t="s">
        <v>794</v>
      </c>
      <c r="AH6" s="280"/>
      <c r="AI6" s="280"/>
      <c r="AJ6" s="286"/>
      <c r="AK6" s="279" t="s">
        <v>795</v>
      </c>
      <c r="AL6" s="280"/>
      <c r="AM6" s="280"/>
      <c r="AN6" s="286"/>
    </row>
    <row r="7" spans="1:40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F7" s="37" t="s">
        <v>3</v>
      </c>
      <c r="AG7" s="22" t="s">
        <v>11</v>
      </c>
      <c r="AH7" s="18" t="s">
        <v>182</v>
      </c>
      <c r="AI7" s="18" t="s">
        <v>597</v>
      </c>
      <c r="AJ7" s="216" t="s">
        <v>18</v>
      </c>
      <c r="AK7" s="22" t="s">
        <v>11</v>
      </c>
      <c r="AL7" s="18" t="s">
        <v>182</v>
      </c>
      <c r="AM7" s="18" t="s">
        <v>597</v>
      </c>
      <c r="AN7" s="216" t="s">
        <v>18</v>
      </c>
    </row>
    <row r="8" spans="1:40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:I14" si="0">+(G8+H8)*F8</f>
        <v>0</v>
      </c>
      <c r="J8" s="64"/>
      <c r="K8" s="63">
        <f t="shared" ref="K8:K18" si="1">VLOOKUP(C8,$B$52:$D$66,3,0)*F8</f>
        <v>21.68</v>
      </c>
      <c r="L8" s="60">
        <f t="shared" ref="L8:L14" si="2">+K8-I8</f>
        <v>21.68</v>
      </c>
      <c r="M8" s="61"/>
      <c r="AF8" s="205" t="str">
        <f>+C8</f>
        <v>Bk</v>
      </c>
      <c r="AG8" s="4">
        <f>+IF($D8=AG$7,$F8,)</f>
        <v>5</v>
      </c>
      <c r="AH8" s="5">
        <f t="shared" ref="AH8:AI27" si="3">+IF($D8=AH$7,$F8,)</f>
        <v>0</v>
      </c>
      <c r="AI8" s="5">
        <f t="shared" si="3"/>
        <v>0</v>
      </c>
      <c r="AJ8" s="6">
        <f>+AG8+AH8+AI8</f>
        <v>5</v>
      </c>
      <c r="AK8" s="4">
        <f>+IF($D8=AK$7,$K8,)</f>
        <v>21.68</v>
      </c>
      <c r="AL8" s="5">
        <f t="shared" ref="AL8:AM27" si="4">+IF($D8=AL$7,$K8,)</f>
        <v>0</v>
      </c>
      <c r="AM8" s="5">
        <f t="shared" si="4"/>
        <v>0</v>
      </c>
      <c r="AN8" s="6">
        <f>+AK8+AL8+AM8</f>
        <v>21.68</v>
      </c>
    </row>
    <row r="9" spans="1:40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si="0"/>
        <v>0</v>
      </c>
      <c r="J9" s="32">
        <f t="shared" ref="J9:J14" si="5">+I9/F9</f>
        <v>0</v>
      </c>
      <c r="K9" s="34">
        <f t="shared" si="1"/>
        <v>26.96</v>
      </c>
      <c r="L9" s="5">
        <f t="shared" si="2"/>
        <v>26.96</v>
      </c>
      <c r="M9" s="7"/>
      <c r="AF9" s="206" t="str">
        <f t="shared" ref="AF9:AF42" si="6">+C9</f>
        <v>Antena 3</v>
      </c>
      <c r="AG9" s="4">
        <f t="shared" ref="AG9:AI28" si="7">+IF($D9=AG$7,$F9,)</f>
        <v>4</v>
      </c>
      <c r="AH9" s="5">
        <f t="shared" si="3"/>
        <v>0</v>
      </c>
      <c r="AI9" s="5">
        <f t="shared" si="3"/>
        <v>0</v>
      </c>
      <c r="AJ9" s="6">
        <f t="shared" ref="AJ9:AJ42" si="8">+AG9+AH9+AI9</f>
        <v>4</v>
      </c>
      <c r="AK9" s="4">
        <f t="shared" ref="AK9:AM28" si="9">+IF($D9=AK$7,$K9,)</f>
        <v>26.96</v>
      </c>
      <c r="AL9" s="5">
        <f t="shared" si="4"/>
        <v>0</v>
      </c>
      <c r="AM9" s="5">
        <f t="shared" si="4"/>
        <v>0</v>
      </c>
      <c r="AN9" s="6">
        <f t="shared" ref="AN9:AN42" si="10">+AK9+AL9+AM9</f>
        <v>26.96</v>
      </c>
    </row>
    <row r="10" spans="1:40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0"/>
        <v>5993</v>
      </c>
      <c r="J10" s="32">
        <f t="shared" si="5"/>
        <v>8.2095890410958905</v>
      </c>
      <c r="K10" s="34">
        <f t="shared" si="1"/>
        <v>6088.2</v>
      </c>
      <c r="L10" s="5">
        <f t="shared" si="2"/>
        <v>95.199999999999818</v>
      </c>
      <c r="M10" s="7">
        <f t="shared" ref="M10:M17" si="11">+K10/I10-1</f>
        <v>1.5885199399299221E-2</v>
      </c>
      <c r="AF10" s="206" t="str">
        <f t="shared" si="6"/>
        <v>BSCH</v>
      </c>
      <c r="AG10" s="4">
        <f t="shared" si="7"/>
        <v>0</v>
      </c>
      <c r="AH10" s="5">
        <f t="shared" si="3"/>
        <v>730</v>
      </c>
      <c r="AI10" s="5">
        <f t="shared" si="3"/>
        <v>0</v>
      </c>
      <c r="AJ10" s="6">
        <f t="shared" si="8"/>
        <v>730</v>
      </c>
      <c r="AK10" s="4">
        <f t="shared" si="9"/>
        <v>0</v>
      </c>
      <c r="AL10" s="5">
        <f t="shared" si="4"/>
        <v>6088.2</v>
      </c>
      <c r="AM10" s="5">
        <f t="shared" si="4"/>
        <v>0</v>
      </c>
      <c r="AN10" s="6">
        <f t="shared" si="10"/>
        <v>6088.2</v>
      </c>
    </row>
    <row r="11" spans="1:40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0"/>
        <v>6012.55</v>
      </c>
      <c r="J11" s="32">
        <f t="shared" si="5"/>
        <v>3.006275</v>
      </c>
      <c r="K11" s="34">
        <f t="shared" si="1"/>
        <v>6860</v>
      </c>
      <c r="L11" s="5">
        <f t="shared" si="2"/>
        <v>847.44999999999982</v>
      </c>
      <c r="M11" s="814">
        <f t="shared" si="11"/>
        <v>0.1409468528328246</v>
      </c>
      <c r="AF11" s="206" t="str">
        <f t="shared" si="6"/>
        <v>JAZZ</v>
      </c>
      <c r="AG11" s="4">
        <f t="shared" si="7"/>
        <v>2000</v>
      </c>
      <c r="AH11" s="5">
        <f t="shared" si="3"/>
        <v>0</v>
      </c>
      <c r="AI11" s="5">
        <f t="shared" si="3"/>
        <v>0</v>
      </c>
      <c r="AJ11" s="6">
        <f t="shared" si="8"/>
        <v>2000</v>
      </c>
      <c r="AK11" s="4">
        <f t="shared" si="9"/>
        <v>6860</v>
      </c>
      <c r="AL11" s="5">
        <f t="shared" si="4"/>
        <v>0</v>
      </c>
      <c r="AM11" s="5">
        <f t="shared" si="4"/>
        <v>0</v>
      </c>
      <c r="AN11" s="6">
        <f t="shared" si="10"/>
        <v>6860</v>
      </c>
    </row>
    <row r="12" spans="1:40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0"/>
        <v>25040</v>
      </c>
      <c r="J12" s="32">
        <f t="shared" si="5"/>
        <v>31.3</v>
      </c>
      <c r="K12" s="34">
        <f t="shared" si="1"/>
        <v>25296</v>
      </c>
      <c r="L12" s="5">
        <f t="shared" si="2"/>
        <v>256</v>
      </c>
      <c r="M12" s="7">
        <f t="shared" si="11"/>
        <v>1.0223642172523917E-2</v>
      </c>
      <c r="AF12" s="206" t="str">
        <f t="shared" si="6"/>
        <v>EDF</v>
      </c>
      <c r="AG12" s="4">
        <f t="shared" si="7"/>
        <v>800</v>
      </c>
      <c r="AH12" s="5">
        <f t="shared" si="3"/>
        <v>0</v>
      </c>
      <c r="AI12" s="5">
        <f t="shared" si="3"/>
        <v>0</v>
      </c>
      <c r="AJ12" s="6">
        <f t="shared" si="8"/>
        <v>800</v>
      </c>
      <c r="AK12" s="4">
        <f t="shared" si="9"/>
        <v>25296</v>
      </c>
      <c r="AL12" s="5">
        <f t="shared" si="4"/>
        <v>0</v>
      </c>
      <c r="AM12" s="5">
        <f t="shared" si="4"/>
        <v>0</v>
      </c>
      <c r="AN12" s="6">
        <f t="shared" si="10"/>
        <v>25296</v>
      </c>
    </row>
    <row r="13" spans="1:40">
      <c r="B13" s="52" t="s">
        <v>9</v>
      </c>
      <c r="C13" s="232" t="s">
        <v>454</v>
      </c>
      <c r="D13" s="53" t="s">
        <v>11</v>
      </c>
      <c r="E13" s="76">
        <v>40121</v>
      </c>
      <c r="F13" s="55">
        <v>4000</v>
      </c>
      <c r="G13" s="83">
        <v>2</v>
      </c>
      <c r="H13" s="228">
        <f>13.85/4000</f>
        <v>3.4624999999999999E-3</v>
      </c>
      <c r="I13" s="30">
        <f t="shared" si="0"/>
        <v>8013.8499999999995</v>
      </c>
      <c r="J13" s="32">
        <f t="shared" si="5"/>
        <v>2.0034624999999999</v>
      </c>
      <c r="K13" s="34">
        <f t="shared" si="1"/>
        <v>2600</v>
      </c>
      <c r="L13" s="5">
        <f t="shared" si="2"/>
        <v>-5413.8499999999995</v>
      </c>
      <c r="M13" s="7">
        <f t="shared" si="11"/>
        <v>-0.67556168383486082</v>
      </c>
      <c r="AF13" s="206" t="str">
        <f t="shared" si="6"/>
        <v>SOS</v>
      </c>
      <c r="AG13" s="4">
        <f t="shared" si="7"/>
        <v>4000</v>
      </c>
      <c r="AH13" s="5">
        <f t="shared" si="3"/>
        <v>0</v>
      </c>
      <c r="AI13" s="5">
        <f t="shared" si="3"/>
        <v>0</v>
      </c>
      <c r="AJ13" s="6">
        <f t="shared" si="8"/>
        <v>4000</v>
      </c>
      <c r="AK13" s="4">
        <f t="shared" si="9"/>
        <v>2600</v>
      </c>
      <c r="AL13" s="5">
        <f t="shared" si="4"/>
        <v>0</v>
      </c>
      <c r="AM13" s="5">
        <f t="shared" si="4"/>
        <v>0</v>
      </c>
      <c r="AN13" s="6">
        <f t="shared" si="10"/>
        <v>2600</v>
      </c>
    </row>
    <row r="14" spans="1:40">
      <c r="B14" s="52" t="s">
        <v>9</v>
      </c>
      <c r="C14" s="232" t="s">
        <v>521</v>
      </c>
      <c r="D14" s="53" t="s">
        <v>11</v>
      </c>
      <c r="E14" s="76">
        <v>40121</v>
      </c>
      <c r="F14" s="55">
        <v>1500</v>
      </c>
      <c r="G14" s="83">
        <v>13.76</v>
      </c>
      <c r="H14" s="228">
        <f>15.75/1500</f>
        <v>1.0500000000000001E-2</v>
      </c>
      <c r="I14" s="30">
        <f t="shared" si="0"/>
        <v>20655.75</v>
      </c>
      <c r="J14" s="32">
        <f t="shared" si="5"/>
        <v>13.7705</v>
      </c>
      <c r="K14" s="34">
        <f t="shared" si="1"/>
        <v>16950</v>
      </c>
      <c r="L14" s="5">
        <f t="shared" si="2"/>
        <v>-3705.75</v>
      </c>
      <c r="M14" s="7">
        <f t="shared" si="11"/>
        <v>-0.17940525035401766</v>
      </c>
      <c r="AF14" s="206" t="str">
        <f t="shared" si="6"/>
        <v>GAS</v>
      </c>
      <c r="AG14" s="4">
        <f t="shared" si="7"/>
        <v>1500</v>
      </c>
      <c r="AH14" s="5">
        <f t="shared" si="3"/>
        <v>0</v>
      </c>
      <c r="AI14" s="5">
        <f t="shared" si="3"/>
        <v>0</v>
      </c>
      <c r="AJ14" s="6">
        <f t="shared" si="8"/>
        <v>1500</v>
      </c>
      <c r="AK14" s="4">
        <f t="shared" si="9"/>
        <v>16950</v>
      </c>
      <c r="AL14" s="5">
        <f t="shared" si="4"/>
        <v>0</v>
      </c>
      <c r="AM14" s="5">
        <f t="shared" si="4"/>
        <v>0</v>
      </c>
      <c r="AN14" s="6">
        <f t="shared" si="10"/>
        <v>16950</v>
      </c>
    </row>
    <row r="15" spans="1:40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ref="I15:I20" si="12">+(G15+H15)*F15</f>
        <v>10814.365930232556</v>
      </c>
      <c r="J15" s="32">
        <f t="shared" ref="J15:J20" si="13">+I15/F15</f>
        <v>16.637486046511626</v>
      </c>
      <c r="K15" s="34">
        <f t="shared" si="1"/>
        <v>11180</v>
      </c>
      <c r="L15" s="5">
        <f t="shared" ref="L15:L20" si="14">+K15-I15</f>
        <v>365.63406976744409</v>
      </c>
      <c r="M15" s="7">
        <f t="shared" si="11"/>
        <v>3.3810033073254919E-2</v>
      </c>
      <c r="AF15" s="206" t="str">
        <f t="shared" si="6"/>
        <v>Telef.</v>
      </c>
      <c r="AG15" s="4">
        <f t="shared" si="7"/>
        <v>650</v>
      </c>
      <c r="AH15" s="5">
        <f t="shared" si="3"/>
        <v>0</v>
      </c>
      <c r="AI15" s="5">
        <f t="shared" si="3"/>
        <v>0</v>
      </c>
      <c r="AJ15" s="6">
        <f t="shared" si="8"/>
        <v>650</v>
      </c>
      <c r="AK15" s="4">
        <f t="shared" si="9"/>
        <v>11180</v>
      </c>
      <c r="AL15" s="5">
        <f t="shared" si="4"/>
        <v>0</v>
      </c>
      <c r="AM15" s="5">
        <f t="shared" si="4"/>
        <v>0</v>
      </c>
      <c r="AN15" s="6">
        <f t="shared" si="10"/>
        <v>11180</v>
      </c>
    </row>
    <row r="16" spans="1:40">
      <c r="B16" s="52" t="s">
        <v>9</v>
      </c>
      <c r="C16" s="232" t="s">
        <v>397</v>
      </c>
      <c r="D16" s="53" t="s">
        <v>597</v>
      </c>
      <c r="E16" s="76">
        <v>40213</v>
      </c>
      <c r="F16" s="55">
        <v>400</v>
      </c>
      <c r="G16" s="83">
        <v>14.15</v>
      </c>
      <c r="H16" s="228">
        <f>+(5693.96-5660)/400</f>
        <v>8.4900000000000087E-2</v>
      </c>
      <c r="I16" s="30">
        <f t="shared" si="12"/>
        <v>5693.96</v>
      </c>
      <c r="J16" s="32">
        <f t="shared" si="13"/>
        <v>14.2349</v>
      </c>
      <c r="K16" s="34">
        <f t="shared" si="1"/>
        <v>7000</v>
      </c>
      <c r="L16" s="5">
        <f t="shared" si="14"/>
        <v>1306.04</v>
      </c>
      <c r="M16" s="7">
        <f t="shared" si="11"/>
        <v>0.22937287933178307</v>
      </c>
      <c r="AF16" s="206" t="str">
        <f t="shared" si="6"/>
        <v>EADS</v>
      </c>
      <c r="AG16" s="4">
        <f t="shared" si="7"/>
        <v>0</v>
      </c>
      <c r="AH16" s="5">
        <f t="shared" si="3"/>
        <v>0</v>
      </c>
      <c r="AI16" s="5">
        <f t="shared" si="3"/>
        <v>400</v>
      </c>
      <c r="AJ16" s="6">
        <f t="shared" si="8"/>
        <v>400</v>
      </c>
      <c r="AK16" s="4">
        <f t="shared" si="9"/>
        <v>0</v>
      </c>
      <c r="AL16" s="5">
        <f t="shared" si="4"/>
        <v>0</v>
      </c>
      <c r="AM16" s="5">
        <f t="shared" si="4"/>
        <v>7000</v>
      </c>
      <c r="AN16" s="6">
        <f t="shared" si="10"/>
        <v>7000</v>
      </c>
    </row>
    <row r="17" spans="2:40">
      <c r="B17" s="52" t="s">
        <v>9</v>
      </c>
      <c r="C17" s="232" t="s">
        <v>349</v>
      </c>
      <c r="D17" s="53" t="s">
        <v>597</v>
      </c>
      <c r="E17" s="76">
        <v>40213</v>
      </c>
      <c r="F17" s="55">
        <v>750</v>
      </c>
      <c r="G17" s="83">
        <v>38.24</v>
      </c>
      <c r="H17" s="228">
        <f>(28852-28680)/750</f>
        <v>0.22933333333333333</v>
      </c>
      <c r="I17" s="30">
        <f t="shared" si="12"/>
        <v>28852.000000000004</v>
      </c>
      <c r="J17" s="32">
        <f t="shared" si="13"/>
        <v>38.469333333333338</v>
      </c>
      <c r="K17" s="34">
        <f t="shared" si="1"/>
        <v>23715</v>
      </c>
      <c r="L17" s="5">
        <f t="shared" si="14"/>
        <v>-5137.0000000000036</v>
      </c>
      <c r="M17" s="7">
        <f t="shared" si="11"/>
        <v>-0.17804658255926809</v>
      </c>
      <c r="AF17" s="206" t="str">
        <f t="shared" si="6"/>
        <v>EDF</v>
      </c>
      <c r="AG17" s="4">
        <f t="shared" si="7"/>
        <v>0</v>
      </c>
      <c r="AH17" s="5">
        <f t="shared" si="3"/>
        <v>0</v>
      </c>
      <c r="AI17" s="5">
        <f t="shared" si="3"/>
        <v>750</v>
      </c>
      <c r="AJ17" s="6">
        <f t="shared" si="8"/>
        <v>750</v>
      </c>
      <c r="AK17" s="4">
        <f t="shared" si="9"/>
        <v>0</v>
      </c>
      <c r="AL17" s="5">
        <f t="shared" si="4"/>
        <v>0</v>
      </c>
      <c r="AM17" s="5">
        <f t="shared" si="4"/>
        <v>23715</v>
      </c>
      <c r="AN17" s="6">
        <f t="shared" si="10"/>
        <v>23715</v>
      </c>
    </row>
    <row r="18" spans="2:40">
      <c r="B18" s="52" t="s">
        <v>9</v>
      </c>
      <c r="C18" s="232" t="s">
        <v>596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8">
        <f>28.83/3000</f>
        <v>9.6099999999999988E-3</v>
      </c>
      <c r="I18" s="30">
        <f t="shared" si="12"/>
        <v>14246.845000000001</v>
      </c>
      <c r="J18" s="32">
        <f t="shared" si="13"/>
        <v>9.4978966666666675</v>
      </c>
      <c r="K18" s="34">
        <f t="shared" si="1"/>
        <v>7510.4999999999991</v>
      </c>
      <c r="L18" s="5">
        <f t="shared" si="14"/>
        <v>-6736.3450000000021</v>
      </c>
      <c r="M18" s="7">
        <f t="shared" ref="M18:M23" si="15">+K18/I18-1</f>
        <v>-0.47283065127752855</v>
      </c>
      <c r="AF18" s="206" t="str">
        <f t="shared" si="6"/>
        <v>GAM</v>
      </c>
      <c r="AG18" s="4">
        <f t="shared" si="7"/>
        <v>1500</v>
      </c>
      <c r="AH18" s="5">
        <f t="shared" si="3"/>
        <v>0</v>
      </c>
      <c r="AI18" s="5">
        <f t="shared" si="3"/>
        <v>0</v>
      </c>
      <c r="AJ18" s="6">
        <f t="shared" si="8"/>
        <v>1500</v>
      </c>
      <c r="AK18" s="4">
        <f t="shared" si="9"/>
        <v>7510.4999999999991</v>
      </c>
      <c r="AL18" s="5">
        <f t="shared" si="4"/>
        <v>0</v>
      </c>
      <c r="AM18" s="5">
        <f t="shared" si="4"/>
        <v>0</v>
      </c>
      <c r="AN18" s="6">
        <f t="shared" si="10"/>
        <v>7510.4999999999991</v>
      </c>
    </row>
    <row r="19" spans="2:40">
      <c r="B19" s="52" t="s">
        <v>9</v>
      </c>
      <c r="C19" s="232" t="s">
        <v>521</v>
      </c>
      <c r="D19" s="53" t="s">
        <v>11</v>
      </c>
      <c r="E19" s="76">
        <v>40220</v>
      </c>
      <c r="F19" s="55">
        <v>1000</v>
      </c>
      <c r="G19" s="83">
        <v>12.97</v>
      </c>
      <c r="H19" s="228">
        <f>14.6/1000</f>
        <v>1.46E-2</v>
      </c>
      <c r="I19" s="30">
        <f t="shared" si="12"/>
        <v>12984.6</v>
      </c>
      <c r="J19" s="32">
        <f t="shared" si="13"/>
        <v>12.9846</v>
      </c>
      <c r="K19" s="34">
        <f t="shared" ref="K19:K26" si="16">VLOOKUP(C19,$B$52:$D$66,3,0)*F19</f>
        <v>11300</v>
      </c>
      <c r="L19" s="5">
        <f t="shared" si="14"/>
        <v>-1684.6000000000004</v>
      </c>
      <c r="M19" s="7">
        <f t="shared" si="15"/>
        <v>-0.12973830537713915</v>
      </c>
      <c r="AF19" s="206" t="str">
        <f t="shared" si="6"/>
        <v>GAS</v>
      </c>
      <c r="AG19" s="4">
        <f t="shared" si="7"/>
        <v>1000</v>
      </c>
      <c r="AH19" s="5">
        <f t="shared" si="3"/>
        <v>0</v>
      </c>
      <c r="AI19" s="5">
        <f t="shared" si="3"/>
        <v>0</v>
      </c>
      <c r="AJ19" s="6">
        <f t="shared" si="8"/>
        <v>1000</v>
      </c>
      <c r="AK19" s="4">
        <f t="shared" si="9"/>
        <v>11300</v>
      </c>
      <c r="AL19" s="5">
        <f t="shared" si="4"/>
        <v>0</v>
      </c>
      <c r="AM19" s="5">
        <f t="shared" si="4"/>
        <v>0</v>
      </c>
      <c r="AN19" s="6">
        <f t="shared" si="10"/>
        <v>11300</v>
      </c>
    </row>
    <row r="20" spans="2:40">
      <c r="B20" s="52" t="s">
        <v>9</v>
      </c>
      <c r="C20" s="232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8">
        <f>16.41/1500</f>
        <v>1.094E-2</v>
      </c>
      <c r="I20" s="30">
        <f t="shared" si="12"/>
        <v>25118.91</v>
      </c>
      <c r="J20" s="32">
        <f t="shared" si="13"/>
        <v>16.745940000000001</v>
      </c>
      <c r="K20" s="34">
        <f t="shared" si="16"/>
        <v>25800</v>
      </c>
      <c r="L20" s="5">
        <f t="shared" si="14"/>
        <v>681.09000000000015</v>
      </c>
      <c r="M20" s="7">
        <f t="shared" si="15"/>
        <v>2.7114631964523905E-2</v>
      </c>
      <c r="AF20" s="206" t="str">
        <f t="shared" si="6"/>
        <v>Telef.</v>
      </c>
      <c r="AG20" s="4">
        <f t="shared" si="7"/>
        <v>1500</v>
      </c>
      <c r="AH20" s="5">
        <f t="shared" si="3"/>
        <v>0</v>
      </c>
      <c r="AI20" s="5">
        <f t="shared" si="3"/>
        <v>0</v>
      </c>
      <c r="AJ20" s="6">
        <f t="shared" si="8"/>
        <v>1500</v>
      </c>
      <c r="AK20" s="4">
        <f t="shared" si="9"/>
        <v>25800</v>
      </c>
      <c r="AL20" s="5">
        <f t="shared" si="4"/>
        <v>0</v>
      </c>
      <c r="AM20" s="5">
        <f t="shared" si="4"/>
        <v>0</v>
      </c>
      <c r="AN20" s="6">
        <f t="shared" si="10"/>
        <v>25800</v>
      </c>
    </row>
    <row r="21" spans="2:40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16"/>
        <v>16950</v>
      </c>
      <c r="L21" s="5">
        <f>+K21-I21</f>
        <v>-1979.4700000000012</v>
      </c>
      <c r="M21" s="7">
        <f t="shared" si="15"/>
        <v>-0.10457080943100894</v>
      </c>
      <c r="AF21" s="206" t="str">
        <f t="shared" si="6"/>
        <v>GAS</v>
      </c>
      <c r="AG21" s="4">
        <f t="shared" si="7"/>
        <v>1500</v>
      </c>
      <c r="AH21" s="5">
        <f t="shared" si="3"/>
        <v>0</v>
      </c>
      <c r="AI21" s="5">
        <f t="shared" si="3"/>
        <v>0</v>
      </c>
      <c r="AJ21" s="6">
        <f t="shared" si="8"/>
        <v>1500</v>
      </c>
      <c r="AK21" s="4">
        <f t="shared" si="9"/>
        <v>16950</v>
      </c>
      <c r="AL21" s="5">
        <f t="shared" si="4"/>
        <v>0</v>
      </c>
      <c r="AM21" s="5">
        <f t="shared" si="4"/>
        <v>0</v>
      </c>
      <c r="AN21" s="6">
        <f t="shared" si="10"/>
        <v>16950</v>
      </c>
    </row>
    <row r="22" spans="2:40">
      <c r="B22" s="52" t="s">
        <v>9</v>
      </c>
      <c r="C22" s="232" t="s">
        <v>521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8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16"/>
        <v>16950</v>
      </c>
      <c r="L22" s="5">
        <f>+K22-I22</f>
        <v>-1976.1749999999993</v>
      </c>
      <c r="M22" s="7">
        <f t="shared" si="15"/>
        <v>-0.10441491743577347</v>
      </c>
      <c r="AF22" s="206" t="str">
        <f t="shared" si="6"/>
        <v>GAS</v>
      </c>
      <c r="AG22" s="4">
        <f t="shared" si="7"/>
        <v>1500</v>
      </c>
      <c r="AH22" s="5">
        <f t="shared" si="3"/>
        <v>0</v>
      </c>
      <c r="AI22" s="5">
        <f t="shared" si="3"/>
        <v>0</v>
      </c>
      <c r="AJ22" s="6">
        <f t="shared" si="8"/>
        <v>1500</v>
      </c>
      <c r="AK22" s="4">
        <f t="shared" si="9"/>
        <v>16950</v>
      </c>
      <c r="AL22" s="5">
        <f t="shared" si="4"/>
        <v>0</v>
      </c>
      <c r="AM22" s="5">
        <f t="shared" si="4"/>
        <v>0</v>
      </c>
      <c r="AN22" s="6">
        <f t="shared" si="10"/>
        <v>16950</v>
      </c>
    </row>
    <row r="23" spans="2:40">
      <c r="B23" s="52" t="s">
        <v>9</v>
      </c>
      <c r="C23" s="232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8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16"/>
        <v>17200</v>
      </c>
      <c r="L23" s="5">
        <f>+K23-I23</f>
        <v>1600.0100000000002</v>
      </c>
      <c r="M23" s="7">
        <f t="shared" si="15"/>
        <v>0.10256480933641621</v>
      </c>
      <c r="AF23" s="206" t="str">
        <f t="shared" si="6"/>
        <v>Telef.</v>
      </c>
      <c r="AG23" s="4">
        <f t="shared" si="7"/>
        <v>1000</v>
      </c>
      <c r="AH23" s="5">
        <f t="shared" si="3"/>
        <v>0</v>
      </c>
      <c r="AI23" s="5">
        <f t="shared" si="3"/>
        <v>0</v>
      </c>
      <c r="AJ23" s="6">
        <f t="shared" si="8"/>
        <v>1000</v>
      </c>
      <c r="AK23" s="4">
        <f t="shared" si="9"/>
        <v>17200</v>
      </c>
      <c r="AL23" s="5">
        <f t="shared" si="4"/>
        <v>0</v>
      </c>
      <c r="AM23" s="5">
        <f t="shared" si="4"/>
        <v>0</v>
      </c>
      <c r="AN23" s="6">
        <f t="shared" si="10"/>
        <v>17200</v>
      </c>
    </row>
    <row r="24" spans="2:40">
      <c r="B24" s="52" t="s">
        <v>9</v>
      </c>
      <c r="C24" s="232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8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16"/>
        <v>34400</v>
      </c>
      <c r="L24" s="5">
        <f>+K24-I24</f>
        <v>3672.739999999998</v>
      </c>
      <c r="M24" s="7">
        <f t="shared" ref="M24:M26" si="17">+K24/I24-1</f>
        <v>0.11952709092838076</v>
      </c>
      <c r="AF24" s="206" t="str">
        <f t="shared" si="6"/>
        <v>Telef.</v>
      </c>
      <c r="AG24" s="4">
        <f t="shared" si="7"/>
        <v>2000</v>
      </c>
      <c r="AH24" s="5">
        <f t="shared" si="3"/>
        <v>0</v>
      </c>
      <c r="AI24" s="5">
        <f t="shared" si="3"/>
        <v>0</v>
      </c>
      <c r="AJ24" s="6">
        <f t="shared" si="8"/>
        <v>2000</v>
      </c>
      <c r="AK24" s="4">
        <f t="shared" si="9"/>
        <v>34400</v>
      </c>
      <c r="AL24" s="5">
        <f t="shared" si="4"/>
        <v>0</v>
      </c>
      <c r="AM24" s="5">
        <f t="shared" si="4"/>
        <v>0</v>
      </c>
      <c r="AN24" s="6">
        <f t="shared" si="10"/>
        <v>34400</v>
      </c>
    </row>
    <row r="25" spans="2:40">
      <c r="B25" s="52" t="s">
        <v>9</v>
      </c>
      <c r="C25" s="232" t="s">
        <v>521</v>
      </c>
      <c r="D25" s="53" t="s">
        <v>11</v>
      </c>
      <c r="E25" s="76">
        <v>40326</v>
      </c>
      <c r="F25" s="55">
        <v>1500</v>
      </c>
      <c r="G25" s="83">
        <v>11.85</v>
      </c>
      <c r="H25" s="228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16"/>
        <v>16950</v>
      </c>
      <c r="L25" s="5">
        <f>+K25-I25</f>
        <v>-840.31000000000131</v>
      </c>
      <c r="M25" s="7">
        <f t="shared" si="17"/>
        <v>-4.7234140383163759E-2</v>
      </c>
      <c r="AF25" s="206" t="str">
        <f t="shared" si="6"/>
        <v>GAS</v>
      </c>
      <c r="AG25" s="4">
        <f t="shared" si="7"/>
        <v>1500</v>
      </c>
      <c r="AH25" s="5">
        <f t="shared" si="3"/>
        <v>0</v>
      </c>
      <c r="AI25" s="5">
        <f t="shared" si="3"/>
        <v>0</v>
      </c>
      <c r="AJ25" s="6">
        <f t="shared" si="8"/>
        <v>1500</v>
      </c>
      <c r="AK25" s="4">
        <f t="shared" si="9"/>
        <v>16950</v>
      </c>
      <c r="AL25" s="5">
        <f t="shared" si="4"/>
        <v>0</v>
      </c>
      <c r="AM25" s="5">
        <f t="shared" si="4"/>
        <v>0</v>
      </c>
      <c r="AN25" s="6">
        <f t="shared" si="10"/>
        <v>16950</v>
      </c>
    </row>
    <row r="26" spans="2:40">
      <c r="B26" s="52" t="s">
        <v>9</v>
      </c>
      <c r="C26" s="232" t="s">
        <v>349</v>
      </c>
      <c r="D26" s="53" t="s">
        <v>597</v>
      </c>
      <c r="E26" s="76">
        <v>40359</v>
      </c>
      <c r="F26" s="55">
        <v>900</v>
      </c>
      <c r="G26" s="83">
        <v>31.234999999999999</v>
      </c>
      <c r="H26" s="228">
        <f>168.66/900</f>
        <v>0.18739999999999998</v>
      </c>
      <c r="I26" s="30">
        <f t="shared" ref="I26" si="18">+(G26+H26)*F26</f>
        <v>28280.16</v>
      </c>
      <c r="J26" s="32">
        <f t="shared" ref="J26" si="19">+I26/F26</f>
        <v>31.4224</v>
      </c>
      <c r="K26" s="34">
        <f t="shared" si="16"/>
        <v>28458</v>
      </c>
      <c r="L26" s="5">
        <f t="shared" ref="L26" si="20">+K26-I26</f>
        <v>177.84000000000015</v>
      </c>
      <c r="M26" s="7">
        <f t="shared" si="17"/>
        <v>6.2885075614849129E-3</v>
      </c>
      <c r="AF26" s="206" t="str">
        <f t="shared" si="6"/>
        <v>EDF</v>
      </c>
      <c r="AG26" s="4">
        <f t="shared" si="7"/>
        <v>0</v>
      </c>
      <c r="AH26" s="5">
        <f t="shared" si="3"/>
        <v>0</v>
      </c>
      <c r="AI26" s="5">
        <f t="shared" si="3"/>
        <v>900</v>
      </c>
      <c r="AJ26" s="6">
        <f t="shared" si="8"/>
        <v>900</v>
      </c>
      <c r="AK26" s="4">
        <f t="shared" si="9"/>
        <v>0</v>
      </c>
      <c r="AL26" s="5">
        <f t="shared" si="4"/>
        <v>0</v>
      </c>
      <c r="AM26" s="5">
        <f t="shared" si="4"/>
        <v>28458</v>
      </c>
      <c r="AN26" s="6">
        <f t="shared" si="10"/>
        <v>28458</v>
      </c>
    </row>
    <row r="27" spans="2:40">
      <c r="B27" s="52" t="s">
        <v>9</v>
      </c>
      <c r="C27" s="232" t="s">
        <v>596</v>
      </c>
      <c r="D27" s="53" t="s">
        <v>11</v>
      </c>
      <c r="E27" s="76">
        <v>40382</v>
      </c>
      <c r="F27" s="55">
        <v>45</v>
      </c>
      <c r="G27" s="83">
        <v>0</v>
      </c>
      <c r="H27" s="228">
        <v>0</v>
      </c>
      <c r="I27" s="30">
        <f t="shared" ref="I27" si="21">+(G27+H27)*F27</f>
        <v>0</v>
      </c>
      <c r="J27" s="32">
        <f t="shared" ref="J27" si="22">+I27/F27</f>
        <v>0</v>
      </c>
      <c r="K27" s="34">
        <f t="shared" ref="K27:K30" si="23">VLOOKUP(C27,$B$52:$D$66,3,0)*F27</f>
        <v>225.315</v>
      </c>
      <c r="L27" s="5">
        <f t="shared" ref="L27" si="24">+K27-I27</f>
        <v>225.315</v>
      </c>
      <c r="M27" s="7"/>
      <c r="N27" s="1" t="s">
        <v>676</v>
      </c>
      <c r="AF27" s="206" t="str">
        <f t="shared" si="6"/>
        <v>GAM</v>
      </c>
      <c r="AG27" s="4">
        <f t="shared" si="7"/>
        <v>45</v>
      </c>
      <c r="AH27" s="5">
        <f t="shared" si="3"/>
        <v>0</v>
      </c>
      <c r="AI27" s="5">
        <f t="shared" si="3"/>
        <v>0</v>
      </c>
      <c r="AJ27" s="6">
        <f t="shared" si="8"/>
        <v>45</v>
      </c>
      <c r="AK27" s="4">
        <f t="shared" si="9"/>
        <v>225.315</v>
      </c>
      <c r="AL27" s="5">
        <f t="shared" si="4"/>
        <v>0</v>
      </c>
      <c r="AM27" s="5">
        <f t="shared" si="4"/>
        <v>0</v>
      </c>
      <c r="AN27" s="6">
        <f t="shared" si="10"/>
        <v>225.315</v>
      </c>
    </row>
    <row r="28" spans="2:40">
      <c r="B28" s="52" t="s">
        <v>9</v>
      </c>
      <c r="C28" s="232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8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23"/>
        <v>8340</v>
      </c>
      <c r="L28" s="5">
        <f>+K28-I28</f>
        <v>-693.96000000000095</v>
      </c>
      <c r="M28" s="7">
        <f t="shared" ref="M28:M30" si="25">+K28/I28-1</f>
        <v>-7.6816811232283566E-2</v>
      </c>
      <c r="AF28" s="206" t="str">
        <f t="shared" si="6"/>
        <v>BSCH</v>
      </c>
      <c r="AG28" s="4">
        <f t="shared" si="7"/>
        <v>1000</v>
      </c>
      <c r="AH28" s="5">
        <f t="shared" si="7"/>
        <v>0</v>
      </c>
      <c r="AI28" s="5">
        <f t="shared" si="7"/>
        <v>0</v>
      </c>
      <c r="AJ28" s="6">
        <f t="shared" si="8"/>
        <v>1000</v>
      </c>
      <c r="AK28" s="4">
        <f t="shared" si="9"/>
        <v>8340</v>
      </c>
      <c r="AL28" s="5">
        <f t="shared" si="9"/>
        <v>0</v>
      </c>
      <c r="AM28" s="5">
        <f t="shared" si="9"/>
        <v>0</v>
      </c>
      <c r="AN28" s="6">
        <f t="shared" si="10"/>
        <v>8340</v>
      </c>
    </row>
    <row r="29" spans="2:40">
      <c r="B29" s="52" t="s">
        <v>9</v>
      </c>
      <c r="C29" s="232" t="s">
        <v>521</v>
      </c>
      <c r="D29" s="53" t="s">
        <v>11</v>
      </c>
      <c r="E29" s="76">
        <v>40455</v>
      </c>
      <c r="F29" s="55">
        <v>1000</v>
      </c>
      <c r="G29" s="83">
        <v>10.375</v>
      </c>
      <c r="H29" s="228">
        <f>14.17/1000</f>
        <v>1.417E-2</v>
      </c>
      <c r="I29" s="30">
        <f>+(G29+H29)*F29</f>
        <v>10389.17</v>
      </c>
      <c r="J29" s="32">
        <f>+I29/F29</f>
        <v>10.38917</v>
      </c>
      <c r="K29" s="34">
        <f t="shared" si="23"/>
        <v>11300</v>
      </c>
      <c r="L29" s="5">
        <f>+K29-I29</f>
        <v>910.82999999999993</v>
      </c>
      <c r="M29" s="7">
        <f t="shared" si="25"/>
        <v>8.7671103658906402E-2</v>
      </c>
      <c r="AF29" s="206" t="str">
        <f t="shared" si="6"/>
        <v>GAS</v>
      </c>
      <c r="AG29" s="4">
        <f t="shared" ref="AG29:AI42" si="26">+IF($D29=AG$7,$F29,)</f>
        <v>1000</v>
      </c>
      <c r="AH29" s="5">
        <f t="shared" si="26"/>
        <v>0</v>
      </c>
      <c r="AI29" s="5">
        <f t="shared" si="26"/>
        <v>0</v>
      </c>
      <c r="AJ29" s="6">
        <f t="shared" si="8"/>
        <v>1000</v>
      </c>
      <c r="AK29" s="4">
        <f t="shared" ref="AK29:AM42" si="27">+IF($D29=AK$7,$K29,)</f>
        <v>11300</v>
      </c>
      <c r="AL29" s="5">
        <f t="shared" si="27"/>
        <v>0</v>
      </c>
      <c r="AM29" s="5">
        <f t="shared" si="27"/>
        <v>0</v>
      </c>
      <c r="AN29" s="6">
        <f t="shared" si="10"/>
        <v>11300</v>
      </c>
    </row>
    <row r="30" spans="2:40">
      <c r="B30" s="52" t="s">
        <v>9</v>
      </c>
      <c r="C30" s="232" t="s">
        <v>596</v>
      </c>
      <c r="D30" s="53" t="s">
        <v>11</v>
      </c>
      <c r="E30" s="76">
        <v>40465</v>
      </c>
      <c r="F30" s="55">
        <v>2000</v>
      </c>
      <c r="G30" s="83">
        <v>4.6689999999999996</v>
      </c>
      <c r="H30" s="228">
        <f>14.01/2000</f>
        <v>7.0049999999999999E-3</v>
      </c>
      <c r="I30" s="30">
        <f t="shared" ref="I30" si="28">+(G30+H30)*F30</f>
        <v>9352.01</v>
      </c>
      <c r="J30" s="32">
        <f t="shared" ref="J30" si="29">+I30/F30</f>
        <v>4.676005</v>
      </c>
      <c r="K30" s="34">
        <f t="shared" si="23"/>
        <v>10014</v>
      </c>
      <c r="L30" s="5">
        <f t="shared" ref="L30" si="30">+K30-I30</f>
        <v>661.98999999999978</v>
      </c>
      <c r="M30" s="7">
        <f t="shared" si="25"/>
        <v>7.0785852453109088E-2</v>
      </c>
      <c r="AF30" s="206" t="str">
        <f t="shared" si="6"/>
        <v>GAM</v>
      </c>
      <c r="AG30" s="4">
        <f t="shared" si="26"/>
        <v>2000</v>
      </c>
      <c r="AH30" s="5">
        <f t="shared" si="26"/>
        <v>0</v>
      </c>
      <c r="AI30" s="5">
        <f t="shared" si="26"/>
        <v>0</v>
      </c>
      <c r="AJ30" s="6">
        <f t="shared" si="8"/>
        <v>2000</v>
      </c>
      <c r="AK30" s="4">
        <f t="shared" si="27"/>
        <v>10014</v>
      </c>
      <c r="AL30" s="5">
        <f t="shared" si="27"/>
        <v>0</v>
      </c>
      <c r="AM30" s="5">
        <f t="shared" si="27"/>
        <v>0</v>
      </c>
      <c r="AN30" s="6">
        <f t="shared" si="10"/>
        <v>10014</v>
      </c>
    </row>
    <row r="31" spans="2:40">
      <c r="B31" s="52" t="s">
        <v>9</v>
      </c>
      <c r="C31" s="232" t="s">
        <v>27</v>
      </c>
      <c r="D31" s="53" t="s">
        <v>11</v>
      </c>
      <c r="E31" s="76">
        <v>40479</v>
      </c>
      <c r="F31" s="55">
        <v>1500</v>
      </c>
      <c r="G31" s="83">
        <v>9.3350000000000009</v>
      </c>
      <c r="H31" s="228">
        <f>14.69/1500</f>
        <v>9.7933333333333327E-3</v>
      </c>
      <c r="I31" s="30">
        <f t="shared" ref="I31" si="31">+(G31+H31)*F31</f>
        <v>14017.19</v>
      </c>
      <c r="J31" s="32">
        <f t="shared" ref="J31" si="32">+I31/F31</f>
        <v>9.3447933333333335</v>
      </c>
      <c r="K31" s="34">
        <f t="shared" ref="K31" si="33">VLOOKUP(C31,$B$52:$D$66,3,0)*F31</f>
        <v>12011.999999999998</v>
      </c>
      <c r="L31" s="5">
        <f t="shared" ref="L31" si="34">+K31-I31</f>
        <v>-2005.1900000000023</v>
      </c>
      <c r="M31" s="7">
        <f t="shared" ref="M31" si="35">+K31/I31-1</f>
        <v>-0.14305220946566344</v>
      </c>
      <c r="AF31" s="207" t="str">
        <f t="shared" si="6"/>
        <v>BBVA</v>
      </c>
      <c r="AG31" s="266">
        <f t="shared" si="26"/>
        <v>1500</v>
      </c>
      <c r="AH31" s="10">
        <f t="shared" si="26"/>
        <v>0</v>
      </c>
      <c r="AI31" s="10">
        <f t="shared" si="26"/>
        <v>0</v>
      </c>
      <c r="AJ31" s="11">
        <f t="shared" si="8"/>
        <v>1500</v>
      </c>
      <c r="AK31" s="266">
        <f t="shared" si="27"/>
        <v>12011.999999999998</v>
      </c>
      <c r="AL31" s="10">
        <f t="shared" si="27"/>
        <v>0</v>
      </c>
      <c r="AM31" s="10">
        <f t="shared" si="27"/>
        <v>0</v>
      </c>
      <c r="AN31" s="11">
        <f t="shared" si="10"/>
        <v>12011.999999999998</v>
      </c>
    </row>
    <row r="32" spans="2:40">
      <c r="B32" s="52" t="s">
        <v>9</v>
      </c>
      <c r="C32" s="232" t="s">
        <v>28</v>
      </c>
      <c r="D32" s="53" t="s">
        <v>182</v>
      </c>
      <c r="E32" s="76">
        <v>40480</v>
      </c>
      <c r="F32" s="55">
        <v>17</v>
      </c>
      <c r="G32" s="83">
        <v>0</v>
      </c>
      <c r="H32" s="228">
        <v>0</v>
      </c>
      <c r="I32" s="30">
        <f t="shared" ref="I32:I38" si="36">+(G32+H32)*F32</f>
        <v>0</v>
      </c>
      <c r="J32" s="32">
        <f t="shared" ref="J32:J38" si="37">+I32/F32</f>
        <v>0</v>
      </c>
      <c r="K32" s="34">
        <f t="shared" ref="K32" si="38">VLOOKUP(C32,$B$51:$D$65,3,0)*F32</f>
        <v>141.78</v>
      </c>
      <c r="L32" s="5">
        <f t="shared" ref="L32:L38" si="39">+K32-I32</f>
        <v>141.78</v>
      </c>
      <c r="M32" s="814">
        <f>IF(I32=0,0,+K32/I32-1)</f>
        <v>0</v>
      </c>
      <c r="N32" s="1" t="s">
        <v>676</v>
      </c>
      <c r="AF32" s="206" t="str">
        <f t="shared" si="6"/>
        <v>BSCH</v>
      </c>
      <c r="AG32" s="4">
        <f t="shared" si="26"/>
        <v>0</v>
      </c>
      <c r="AH32" s="5">
        <f t="shared" si="26"/>
        <v>17</v>
      </c>
      <c r="AI32" s="5">
        <f t="shared" si="26"/>
        <v>0</v>
      </c>
      <c r="AJ32" s="6">
        <f t="shared" si="8"/>
        <v>17</v>
      </c>
      <c r="AK32" s="4">
        <f t="shared" si="27"/>
        <v>0</v>
      </c>
      <c r="AL32" s="5">
        <f t="shared" si="27"/>
        <v>141.78</v>
      </c>
      <c r="AM32" s="5">
        <f t="shared" si="27"/>
        <v>0</v>
      </c>
      <c r="AN32" s="6">
        <f t="shared" si="10"/>
        <v>141.78</v>
      </c>
    </row>
    <row r="33" spans="1:40">
      <c r="B33" s="52" t="s">
        <v>9</v>
      </c>
      <c r="C33" s="232" t="s">
        <v>28</v>
      </c>
      <c r="D33" s="53" t="s">
        <v>11</v>
      </c>
      <c r="E33" s="76">
        <v>40485</v>
      </c>
      <c r="F33" s="55">
        <v>12</v>
      </c>
      <c r="G33" s="83">
        <v>0</v>
      </c>
      <c r="H33" s="228">
        <v>0</v>
      </c>
      <c r="I33" s="30">
        <f t="shared" si="36"/>
        <v>0</v>
      </c>
      <c r="J33" s="32">
        <f t="shared" si="37"/>
        <v>0</v>
      </c>
      <c r="K33" s="34">
        <f t="shared" ref="K33:K40" si="40">VLOOKUP(C33,$B$51:$D$65,3,0)*F33</f>
        <v>100.08</v>
      </c>
      <c r="L33" s="5">
        <f t="shared" si="39"/>
        <v>100.08</v>
      </c>
      <c r="M33" s="814">
        <f>IF(I33=0,0,+K33/I33-1)</f>
        <v>0</v>
      </c>
      <c r="N33" s="1" t="s">
        <v>676</v>
      </c>
      <c r="AF33" s="206" t="str">
        <f t="shared" si="6"/>
        <v>BSCH</v>
      </c>
      <c r="AG33" s="4">
        <f t="shared" si="26"/>
        <v>12</v>
      </c>
      <c r="AH33" s="5">
        <f t="shared" si="26"/>
        <v>0</v>
      </c>
      <c r="AI33" s="5">
        <f t="shared" si="26"/>
        <v>0</v>
      </c>
      <c r="AJ33" s="6">
        <f t="shared" si="8"/>
        <v>12</v>
      </c>
      <c r="AK33" s="4">
        <f t="shared" si="27"/>
        <v>100.08</v>
      </c>
      <c r="AL33" s="5">
        <f t="shared" si="27"/>
        <v>0</v>
      </c>
      <c r="AM33" s="5">
        <f t="shared" si="27"/>
        <v>0</v>
      </c>
      <c r="AN33" s="6">
        <f t="shared" si="10"/>
        <v>100.08</v>
      </c>
    </row>
    <row r="34" spans="1:40">
      <c r="B34" s="52" t="s">
        <v>9</v>
      </c>
      <c r="C34" s="232" t="s">
        <v>17</v>
      </c>
      <c r="D34" s="53" t="s">
        <v>11</v>
      </c>
      <c r="E34" s="76">
        <v>40494</v>
      </c>
      <c r="F34" s="55">
        <v>1000</v>
      </c>
      <c r="G34" s="83">
        <v>17.75</v>
      </c>
      <c r="H34" s="228">
        <f>15.24/1000</f>
        <v>1.524E-2</v>
      </c>
      <c r="I34" s="30">
        <f t="shared" si="36"/>
        <v>17765.239999999998</v>
      </c>
      <c r="J34" s="32">
        <f t="shared" si="37"/>
        <v>17.765239999999999</v>
      </c>
      <c r="K34" s="34">
        <f t="shared" si="40"/>
        <v>17200</v>
      </c>
      <c r="L34" s="5">
        <f t="shared" si="39"/>
        <v>-565.23999999999796</v>
      </c>
      <c r="M34" s="814">
        <f t="shared" ref="M34" si="41">+K34/I34-1</f>
        <v>-3.1817189072593344E-2</v>
      </c>
      <c r="AF34" s="206" t="str">
        <f t="shared" si="6"/>
        <v>Telef.</v>
      </c>
      <c r="AG34" s="4">
        <f t="shared" si="26"/>
        <v>1000</v>
      </c>
      <c r="AH34" s="5">
        <f t="shared" si="26"/>
        <v>0</v>
      </c>
      <c r="AI34" s="5">
        <f t="shared" si="26"/>
        <v>0</v>
      </c>
      <c r="AJ34" s="6">
        <f t="shared" si="8"/>
        <v>1000</v>
      </c>
      <c r="AK34" s="4">
        <f t="shared" si="27"/>
        <v>17200</v>
      </c>
      <c r="AL34" s="5">
        <f t="shared" si="27"/>
        <v>0</v>
      </c>
      <c r="AM34" s="5">
        <f t="shared" si="27"/>
        <v>0</v>
      </c>
      <c r="AN34" s="6">
        <f t="shared" si="10"/>
        <v>17200</v>
      </c>
    </row>
    <row r="35" spans="1:40">
      <c r="B35" s="52" t="s">
        <v>9</v>
      </c>
      <c r="C35" s="232" t="s">
        <v>27</v>
      </c>
      <c r="D35" s="53" t="s">
        <v>11</v>
      </c>
      <c r="E35" s="76">
        <v>40507</v>
      </c>
      <c r="F35" s="55">
        <v>300</v>
      </c>
      <c r="G35" s="83">
        <v>6.75</v>
      </c>
      <c r="H35" s="228">
        <v>0</v>
      </c>
      <c r="I35" s="30">
        <f t="shared" si="36"/>
        <v>2025</v>
      </c>
      <c r="J35" s="32">
        <f t="shared" si="37"/>
        <v>6.75</v>
      </c>
      <c r="K35" s="34">
        <f t="shared" si="40"/>
        <v>2402.3999999999996</v>
      </c>
      <c r="L35" s="5">
        <f t="shared" si="39"/>
        <v>377.39999999999964</v>
      </c>
      <c r="M35" s="814">
        <f>IF(I35=0,0,+K35/I35-1)</f>
        <v>0.1863703703703703</v>
      </c>
      <c r="AF35" s="206" t="str">
        <f t="shared" si="6"/>
        <v>BBVA</v>
      </c>
      <c r="AG35" s="4">
        <f t="shared" si="26"/>
        <v>300</v>
      </c>
      <c r="AH35" s="5">
        <f t="shared" si="26"/>
        <v>0</v>
      </c>
      <c r="AI35" s="5">
        <f t="shared" si="26"/>
        <v>0</v>
      </c>
      <c r="AJ35" s="6">
        <f t="shared" si="8"/>
        <v>300</v>
      </c>
      <c r="AK35" s="4">
        <f t="shared" si="27"/>
        <v>2402.3999999999996</v>
      </c>
      <c r="AL35" s="5">
        <f t="shared" si="27"/>
        <v>0</v>
      </c>
      <c r="AM35" s="5">
        <f t="shared" si="27"/>
        <v>0</v>
      </c>
      <c r="AN35" s="6">
        <f t="shared" si="10"/>
        <v>2402.3999999999996</v>
      </c>
    </row>
    <row r="36" spans="1:40">
      <c r="B36" s="52" t="s">
        <v>9</v>
      </c>
      <c r="C36" s="232" t="s">
        <v>27</v>
      </c>
      <c r="D36" s="53" t="s">
        <v>182</v>
      </c>
      <c r="E36" s="76">
        <v>40487</v>
      </c>
      <c r="F36" s="55">
        <f>1008+851+141</f>
        <v>2000</v>
      </c>
      <c r="G36" s="83">
        <v>8.4300785000000005</v>
      </c>
      <c r="H36" s="228">
        <f>(14.43+61.81)/2000</f>
        <v>3.8120000000000001E-2</v>
      </c>
      <c r="I36" s="30">
        <f t="shared" si="36"/>
        <v>16936.397000000001</v>
      </c>
      <c r="J36" s="32">
        <f t="shared" si="37"/>
        <v>8.4681984999999997</v>
      </c>
      <c r="K36" s="34">
        <f t="shared" si="40"/>
        <v>16015.999999999998</v>
      </c>
      <c r="L36" s="5">
        <f t="shared" si="39"/>
        <v>-920.39700000000266</v>
      </c>
      <c r="M36" s="814">
        <f>IF(I36=0,0,+K36/I36-1)</f>
        <v>-5.4344321286280861E-2</v>
      </c>
      <c r="AF36" s="206" t="str">
        <f t="shared" si="6"/>
        <v>BBVA</v>
      </c>
      <c r="AG36" s="4">
        <f t="shared" si="26"/>
        <v>0</v>
      </c>
      <c r="AH36" s="5">
        <f t="shared" si="26"/>
        <v>2000</v>
      </c>
      <c r="AI36" s="5">
        <f t="shared" si="26"/>
        <v>0</v>
      </c>
      <c r="AJ36" s="6">
        <f t="shared" si="8"/>
        <v>2000</v>
      </c>
      <c r="AK36" s="4">
        <f t="shared" si="27"/>
        <v>0</v>
      </c>
      <c r="AL36" s="5">
        <f t="shared" si="27"/>
        <v>16015.999999999998</v>
      </c>
      <c r="AM36" s="5">
        <f t="shared" si="27"/>
        <v>0</v>
      </c>
      <c r="AN36" s="6">
        <f t="shared" si="10"/>
        <v>16015.999999999998</v>
      </c>
    </row>
    <row r="37" spans="1:40">
      <c r="B37" s="52" t="s">
        <v>9</v>
      </c>
      <c r="C37" s="232" t="s">
        <v>27</v>
      </c>
      <c r="D37" s="53" t="s">
        <v>182</v>
      </c>
      <c r="E37" s="76">
        <v>40490</v>
      </c>
      <c r="F37" s="55">
        <v>2000</v>
      </c>
      <c r="G37" s="83">
        <v>8.15</v>
      </c>
      <c r="H37" s="228">
        <f>+(7.03+59.09)/2000</f>
        <v>3.3059999999999999E-2</v>
      </c>
      <c r="I37" s="30">
        <f t="shared" si="36"/>
        <v>16366.120000000003</v>
      </c>
      <c r="J37" s="32">
        <f t="shared" si="37"/>
        <v>8.1830600000000011</v>
      </c>
      <c r="K37" s="34">
        <f t="shared" si="40"/>
        <v>16015.999999999998</v>
      </c>
      <c r="L37" s="5">
        <f t="shared" si="39"/>
        <v>-350.12000000000444</v>
      </c>
      <c r="M37" s="814">
        <f>IF(I37=0,0,+K37/I37-1)</f>
        <v>-2.1392975243979873E-2</v>
      </c>
      <c r="AF37" s="206" t="str">
        <f t="shared" si="6"/>
        <v>BBVA</v>
      </c>
      <c r="AG37" s="4">
        <f t="shared" si="26"/>
        <v>0</v>
      </c>
      <c r="AH37" s="5">
        <f t="shared" si="26"/>
        <v>2000</v>
      </c>
      <c r="AI37" s="5">
        <f t="shared" si="26"/>
        <v>0</v>
      </c>
      <c r="AJ37" s="6">
        <f t="shared" si="8"/>
        <v>2000</v>
      </c>
      <c r="AK37" s="4">
        <f t="shared" si="27"/>
        <v>0</v>
      </c>
      <c r="AL37" s="5">
        <f t="shared" si="27"/>
        <v>16015.999999999998</v>
      </c>
      <c r="AM37" s="5">
        <f t="shared" si="27"/>
        <v>0</v>
      </c>
      <c r="AN37" s="6">
        <f t="shared" si="10"/>
        <v>16015.999999999998</v>
      </c>
    </row>
    <row r="38" spans="1:40">
      <c r="B38" s="52" t="s">
        <v>9</v>
      </c>
      <c r="C38" s="232" t="s">
        <v>27</v>
      </c>
      <c r="D38" s="53" t="s">
        <v>182</v>
      </c>
      <c r="E38" s="76">
        <v>40505</v>
      </c>
      <c r="F38" s="55">
        <v>900</v>
      </c>
      <c r="G38" s="83">
        <v>7.7119999999999997</v>
      </c>
      <c r="H38" s="228">
        <f>(5.66+25.16)/900</f>
        <v>3.4244444444444445E-2</v>
      </c>
      <c r="I38" s="30">
        <f t="shared" si="36"/>
        <v>6971.62</v>
      </c>
      <c r="J38" s="32">
        <f t="shared" si="37"/>
        <v>7.7462444444444447</v>
      </c>
      <c r="K38" s="34">
        <f t="shared" si="40"/>
        <v>7207.1999999999989</v>
      </c>
      <c r="L38" s="5">
        <f t="shared" si="39"/>
        <v>235.57999999999902</v>
      </c>
      <c r="M38" s="814">
        <f>IF(I38=0,0,+K38/I38-1)</f>
        <v>3.379128523929853E-2</v>
      </c>
      <c r="AF38" s="206" t="str">
        <f t="shared" si="6"/>
        <v>BBVA</v>
      </c>
      <c r="AG38" s="4">
        <f t="shared" si="26"/>
        <v>0</v>
      </c>
      <c r="AH38" s="5">
        <f t="shared" si="26"/>
        <v>900</v>
      </c>
      <c r="AI38" s="5">
        <f t="shared" si="26"/>
        <v>0</v>
      </c>
      <c r="AJ38" s="6">
        <f t="shared" si="8"/>
        <v>900</v>
      </c>
      <c r="AK38" s="4">
        <f t="shared" si="27"/>
        <v>0</v>
      </c>
      <c r="AL38" s="5">
        <f t="shared" si="27"/>
        <v>7207.1999999999989</v>
      </c>
      <c r="AM38" s="5">
        <f t="shared" si="27"/>
        <v>0</v>
      </c>
      <c r="AN38" s="6">
        <f t="shared" si="10"/>
        <v>7207.1999999999989</v>
      </c>
    </row>
    <row r="39" spans="1:40">
      <c r="B39" s="52" t="s">
        <v>9</v>
      </c>
      <c r="C39" s="232" t="s">
        <v>27</v>
      </c>
      <c r="D39" s="53" t="s">
        <v>11</v>
      </c>
      <c r="E39" s="76">
        <v>40505</v>
      </c>
      <c r="F39" s="55">
        <v>1000</v>
      </c>
      <c r="G39" s="83">
        <v>7.67</v>
      </c>
      <c r="H39" s="228">
        <f>13.77/1000</f>
        <v>1.3769999999999999E-2</v>
      </c>
      <c r="I39" s="30">
        <f t="shared" ref="I39:I40" si="42">+(G39+H39)*F39</f>
        <v>7683.77</v>
      </c>
      <c r="J39" s="32">
        <f t="shared" ref="J39:J40" si="43">+I39/F39</f>
        <v>7.6837700000000009</v>
      </c>
      <c r="K39" s="34">
        <f t="shared" si="40"/>
        <v>8007.9999999999991</v>
      </c>
      <c r="L39" s="5">
        <f t="shared" ref="L39:L40" si="44">+K39-I39</f>
        <v>324.22999999999865</v>
      </c>
      <c r="M39" s="814">
        <f t="shared" ref="M39:M40" si="45">+K39/I39-1</f>
        <v>4.2196734155238724E-2</v>
      </c>
      <c r="AF39" s="206" t="str">
        <f t="shared" si="6"/>
        <v>BBVA</v>
      </c>
      <c r="AG39" s="4">
        <f t="shared" si="26"/>
        <v>1000</v>
      </c>
      <c r="AH39" s="5">
        <f t="shared" si="26"/>
        <v>0</v>
      </c>
      <c r="AI39" s="5">
        <f t="shared" si="26"/>
        <v>0</v>
      </c>
      <c r="AJ39" s="6">
        <f t="shared" si="8"/>
        <v>1000</v>
      </c>
      <c r="AK39" s="4">
        <f t="shared" si="27"/>
        <v>8007.9999999999991</v>
      </c>
      <c r="AL39" s="5">
        <f t="shared" si="27"/>
        <v>0</v>
      </c>
      <c r="AM39" s="5">
        <f t="shared" si="27"/>
        <v>0</v>
      </c>
      <c r="AN39" s="6">
        <f t="shared" si="10"/>
        <v>8007.9999999999991</v>
      </c>
    </row>
    <row r="40" spans="1:40">
      <c r="B40" s="52" t="s">
        <v>9</v>
      </c>
      <c r="C40" s="232" t="s">
        <v>10</v>
      </c>
      <c r="D40" s="53" t="s">
        <v>11</v>
      </c>
      <c r="E40" s="76">
        <v>40505</v>
      </c>
      <c r="F40" s="55">
        <v>200</v>
      </c>
      <c r="G40" s="83">
        <v>19.100000000000001</v>
      </c>
      <c r="H40" s="228">
        <f>13.21/200</f>
        <v>6.6049999999999998E-2</v>
      </c>
      <c r="I40" s="30">
        <f t="shared" si="42"/>
        <v>3833.2100000000005</v>
      </c>
      <c r="J40" s="32">
        <f t="shared" si="43"/>
        <v>19.166050000000002</v>
      </c>
      <c r="K40" s="34">
        <f t="shared" si="40"/>
        <v>3620.0000000000005</v>
      </c>
      <c r="L40" s="5">
        <f t="shared" si="44"/>
        <v>-213.21000000000004</v>
      </c>
      <c r="M40" s="814">
        <f t="shared" si="45"/>
        <v>-5.5621789570620916E-2</v>
      </c>
      <c r="AF40" s="206" t="str">
        <f t="shared" si="6"/>
        <v>Endesa</v>
      </c>
      <c r="AG40" s="4">
        <f t="shared" si="26"/>
        <v>200</v>
      </c>
      <c r="AH40" s="5">
        <f t="shared" si="26"/>
        <v>0</v>
      </c>
      <c r="AI40" s="5">
        <f t="shared" si="26"/>
        <v>0</v>
      </c>
      <c r="AJ40" s="6">
        <f t="shared" si="8"/>
        <v>200</v>
      </c>
      <c r="AK40" s="4">
        <f t="shared" si="27"/>
        <v>3620.0000000000005</v>
      </c>
      <c r="AL40" s="5">
        <f t="shared" si="27"/>
        <v>0</v>
      </c>
      <c r="AM40" s="5">
        <f t="shared" si="27"/>
        <v>0</v>
      </c>
      <c r="AN40" s="6">
        <f t="shared" si="10"/>
        <v>3620.0000000000005</v>
      </c>
    </row>
    <row r="41" spans="1:40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"/>
      <c r="N41" s="798"/>
      <c r="AF41" s="206">
        <f t="shared" si="6"/>
        <v>0</v>
      </c>
      <c r="AG41" s="4">
        <f t="shared" si="26"/>
        <v>0</v>
      </c>
      <c r="AH41" s="5">
        <f t="shared" si="26"/>
        <v>0</v>
      </c>
      <c r="AI41" s="5">
        <f t="shared" si="26"/>
        <v>0</v>
      </c>
      <c r="AJ41" s="6">
        <f t="shared" si="8"/>
        <v>0</v>
      </c>
      <c r="AK41" s="4">
        <f t="shared" si="27"/>
        <v>0</v>
      </c>
      <c r="AL41" s="5">
        <f t="shared" si="27"/>
        <v>0</v>
      </c>
      <c r="AM41" s="5">
        <f t="shared" si="27"/>
        <v>0</v>
      </c>
      <c r="AN41" s="6">
        <f t="shared" si="10"/>
        <v>0</v>
      </c>
    </row>
    <row r="42" spans="1:40">
      <c r="B42" s="22"/>
      <c r="C42" s="18"/>
      <c r="D42" s="18"/>
      <c r="E42" s="22"/>
      <c r="F42" s="10"/>
      <c r="G42" s="593"/>
      <c r="H42" s="237"/>
      <c r="I42" s="30"/>
      <c r="J42" s="32"/>
      <c r="K42" s="9"/>
      <c r="L42" s="10"/>
      <c r="M42" s="19"/>
      <c r="AF42" s="207">
        <f t="shared" si="6"/>
        <v>0</v>
      </c>
      <c r="AG42" s="266">
        <f t="shared" si="26"/>
        <v>0</v>
      </c>
      <c r="AH42" s="10">
        <f t="shared" si="26"/>
        <v>0</v>
      </c>
      <c r="AI42" s="10">
        <f t="shared" si="26"/>
        <v>0</v>
      </c>
      <c r="AJ42" s="11">
        <f t="shared" si="8"/>
        <v>0</v>
      </c>
      <c r="AK42" s="266">
        <f t="shared" si="27"/>
        <v>0</v>
      </c>
      <c r="AL42" s="10">
        <f t="shared" si="27"/>
        <v>0</v>
      </c>
      <c r="AM42" s="10">
        <f t="shared" si="27"/>
        <v>0</v>
      </c>
      <c r="AN42" s="11">
        <f t="shared" si="10"/>
        <v>0</v>
      </c>
    </row>
    <row r="43" spans="1:40">
      <c r="B43" s="1"/>
      <c r="C43" s="1"/>
      <c r="D43" s="1"/>
      <c r="E43" s="1"/>
      <c r="H43" s="598" t="s">
        <v>18</v>
      </c>
      <c r="I43" s="65">
        <f>SUM(I8:I42)</f>
        <v>408052.88293023256</v>
      </c>
      <c r="J43" s="66"/>
      <c r="K43" s="597">
        <f>SUM(K8:K42)</f>
        <v>387859.11500000005</v>
      </c>
      <c r="L43" s="185">
        <f>+K43-I43</f>
        <v>-20193.767930232512</v>
      </c>
      <c r="M43" s="14">
        <f>+K43/I43-1</f>
        <v>-4.9488114837520136E-2</v>
      </c>
      <c r="N43" s="597">
        <v>313851.06</v>
      </c>
      <c r="O43" s="185">
        <v>-13818.325000000012</v>
      </c>
      <c r="P43" s="14">
        <v>-4.2171547396776199E-2</v>
      </c>
      <c r="Q43" s="107"/>
      <c r="R43" s="107"/>
      <c r="AF43" s="1" t="s">
        <v>18</v>
      </c>
      <c r="AG43" s="12"/>
      <c r="AK43" s="189">
        <f>SUM(AK8:AK42)</f>
        <v>283216.93500000006</v>
      </c>
      <c r="AL43" s="185">
        <f t="shared" ref="AL43:AN43" si="46">SUM(AL8:AL42)</f>
        <v>45469.179999999993</v>
      </c>
      <c r="AM43" s="185">
        <f t="shared" si="46"/>
        <v>59173</v>
      </c>
      <c r="AN43" s="13">
        <f t="shared" si="46"/>
        <v>387859.11500000005</v>
      </c>
    </row>
    <row r="44" spans="1:40">
      <c r="A44" s="107"/>
      <c r="B44" s="1"/>
      <c r="C44" s="1"/>
      <c r="D44" s="1"/>
      <c r="E44" s="1"/>
      <c r="H44" s="598" t="s">
        <v>600</v>
      </c>
      <c r="I44" s="63">
        <f>SUMIF($D8:$D42,"Bk",I8:I42)</f>
        <v>298959.62593023258</v>
      </c>
      <c r="J44" s="64"/>
      <c r="K44" s="63">
        <f>SUMIF($D8:$D42,"Bk",K8:K42)</f>
        <v>283216.93500000006</v>
      </c>
      <c r="L44" s="60">
        <f>+K44-I44</f>
        <v>-15742.690930232522</v>
      </c>
      <c r="M44" s="61">
        <f>+K44/I44-1</f>
        <v>-5.2658250696053344E-2</v>
      </c>
      <c r="N44" s="63">
        <v>248157.80999999997</v>
      </c>
      <c r="O44" s="60">
        <v>-10692.455000000016</v>
      </c>
      <c r="P44" s="61">
        <v>-4.1307491031542964E-2</v>
      </c>
    </row>
    <row r="45" spans="1:40">
      <c r="A45" s="107"/>
      <c r="B45" s="1"/>
      <c r="C45" s="1"/>
      <c r="D45" s="1"/>
      <c r="E45" s="1"/>
      <c r="H45" s="599" t="s">
        <v>601</v>
      </c>
      <c r="I45" s="34">
        <f>SUMIF($D8:$D42,"PEA",I8:I42)</f>
        <v>62826.12000000001</v>
      </c>
      <c r="J45" s="32"/>
      <c r="K45" s="34">
        <f>SUMIF($D8:$D42,"PEA",K8:K42)</f>
        <v>59173</v>
      </c>
      <c r="L45" s="5">
        <f>+K45-I45</f>
        <v>-3653.1200000000099</v>
      </c>
      <c r="M45" s="7">
        <f>+K45/I45-1</f>
        <v>-5.8146516130552217E-2</v>
      </c>
      <c r="N45" s="34">
        <v>59050.25</v>
      </c>
      <c r="O45" s="5">
        <v>-3775.8700000000099</v>
      </c>
      <c r="P45" s="7">
        <v>-6.010032133131904E-2</v>
      </c>
    </row>
    <row r="46" spans="1:40">
      <c r="A46" s="107"/>
      <c r="B46" s="1"/>
      <c r="C46" s="1"/>
      <c r="D46" s="1"/>
      <c r="E46" s="1"/>
      <c r="H46" s="236" t="s">
        <v>602</v>
      </c>
      <c r="I46" s="35">
        <f>SUMIF($D8:$D42,"Caixa",I8:I42)</f>
        <v>46267.13700000001</v>
      </c>
      <c r="J46" s="33"/>
      <c r="K46" s="35">
        <f>SUMIF($D8:$D42,"Caixa",K8:K42)</f>
        <v>45469.179999999993</v>
      </c>
      <c r="L46" s="10">
        <f>+K46-I46</f>
        <v>-797.95700000001671</v>
      </c>
      <c r="M46" s="15">
        <f>+K46/I46-1</f>
        <v>-1.7246733896675193E-2</v>
      </c>
      <c r="N46" s="35">
        <v>6643</v>
      </c>
      <c r="O46" s="10">
        <v>650</v>
      </c>
      <c r="P46" s="15">
        <v>0.10845986984815625</v>
      </c>
    </row>
    <row r="47" spans="1:40">
      <c r="A47" s="312"/>
      <c r="B47" s="1"/>
      <c r="C47" s="1"/>
      <c r="D47" s="1"/>
      <c r="E47" s="1"/>
    </row>
    <row r="48" spans="1:40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0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0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29" t="s">
        <v>640</v>
      </c>
      <c r="Z50" s="630"/>
      <c r="AA50" s="630"/>
      <c r="AB50" s="630"/>
      <c r="AC50" s="630"/>
      <c r="AD50" s="631"/>
      <c r="AG50" s="805" t="s">
        <v>793</v>
      </c>
      <c r="AH50" s="853"/>
      <c r="AI50" s="853"/>
      <c r="AJ50" s="854"/>
      <c r="AK50" s="630"/>
      <c r="AL50" s="630"/>
      <c r="AM50" s="630"/>
      <c r="AN50" s="631"/>
    </row>
    <row r="51" spans="2:40" s="251" customFormat="1" ht="25.5">
      <c r="B51" s="252"/>
      <c r="C51" s="253" t="s">
        <v>59</v>
      </c>
      <c r="D51" s="254"/>
      <c r="E51" s="255"/>
      <c r="F51" s="256" t="s">
        <v>30</v>
      </c>
      <c r="G51" s="257" t="s">
        <v>183</v>
      </c>
      <c r="H51" s="257"/>
      <c r="I51" s="258" t="s">
        <v>23</v>
      </c>
      <c r="J51" s="259"/>
      <c r="K51" s="258" t="s">
        <v>26</v>
      </c>
      <c r="L51" s="250" t="s">
        <v>186</v>
      </c>
      <c r="M51" s="260" t="s">
        <v>7</v>
      </c>
      <c r="N51" s="261" t="s">
        <v>128</v>
      </c>
      <c r="O51" s="262" t="s">
        <v>140</v>
      </c>
      <c r="P51" s="258" t="s">
        <v>26</v>
      </c>
      <c r="Q51" s="250" t="s">
        <v>186</v>
      </c>
      <c r="R51" s="260" t="s">
        <v>7</v>
      </c>
      <c r="S51" s="252"/>
      <c r="X51" s="626" t="s">
        <v>633</v>
      </c>
      <c r="Y51" s="622" t="s">
        <v>638</v>
      </c>
      <c r="Z51" s="331" t="s">
        <v>641</v>
      </c>
      <c r="AA51" s="623" t="s">
        <v>636</v>
      </c>
      <c r="AB51" s="622" t="s">
        <v>634</v>
      </c>
      <c r="AC51" s="332" t="s">
        <v>637</v>
      </c>
      <c r="AD51" s="626" t="s">
        <v>635</v>
      </c>
      <c r="AG51" s="855" t="s">
        <v>794</v>
      </c>
      <c r="AH51" s="856"/>
      <c r="AI51" s="856"/>
      <c r="AJ51" s="857"/>
      <c r="AK51" s="855" t="s">
        <v>795</v>
      </c>
      <c r="AL51" s="856"/>
      <c r="AM51" s="856"/>
      <c r="AN51" s="857"/>
    </row>
    <row r="52" spans="2:40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4" t="s">
        <v>639</v>
      </c>
      <c r="Y52" s="22" t="s">
        <v>639</v>
      </c>
      <c r="Z52" s="18"/>
      <c r="AA52" s="216" t="s">
        <v>36</v>
      </c>
      <c r="AB52" s="22" t="s">
        <v>639</v>
      </c>
      <c r="AC52" s="216" t="s">
        <v>36</v>
      </c>
      <c r="AD52" s="224" t="s">
        <v>36</v>
      </c>
      <c r="AG52" s="22" t="s">
        <v>11</v>
      </c>
      <c r="AH52" s="18" t="s">
        <v>182</v>
      </c>
      <c r="AI52" s="18" t="s">
        <v>597</v>
      </c>
      <c r="AJ52" s="216" t="s">
        <v>18</v>
      </c>
      <c r="AK52" s="22" t="s">
        <v>11</v>
      </c>
      <c r="AL52" s="18" t="s">
        <v>182</v>
      </c>
      <c r="AM52" s="18" t="s">
        <v>597</v>
      </c>
      <c r="AN52" s="216" t="s">
        <v>18</v>
      </c>
    </row>
    <row r="53" spans="2:40">
      <c r="B53" s="546" t="s">
        <v>169</v>
      </c>
      <c r="C53" s="547">
        <v>40479</v>
      </c>
      <c r="D53" s="555">
        <v>6.74</v>
      </c>
      <c r="E53" s="1"/>
      <c r="F53" s="548">
        <v>4</v>
      </c>
      <c r="G53" s="549">
        <f t="shared" ref="G53:G66" si="47">+I53/$I$66</f>
        <v>0</v>
      </c>
      <c r="H53" s="550">
        <f t="shared" ref="H53:H66" si="48">+K53/$K$66</f>
        <v>6.9509775476077194E-5</v>
      </c>
      <c r="I53" s="551">
        <f t="shared" ref="I53:I65" si="49">SUMIF($C$8:$C$42,$B53,I$8:I$42)</f>
        <v>0</v>
      </c>
      <c r="J53" s="552">
        <f t="shared" ref="J53:J65" si="50">+IF(F53=0,0,I53/F53)</f>
        <v>0</v>
      </c>
      <c r="K53" s="458">
        <f t="shared" ref="K53:K65" si="51">VLOOKUP(B53,$B$53:$D$67,3,0)*F53</f>
        <v>26.96</v>
      </c>
      <c r="L53" s="102">
        <f t="shared" ref="L53:L65" si="52">+K53-I53</f>
        <v>26.96</v>
      </c>
      <c r="M53" s="460">
        <f t="shared" ref="M53:M65" si="53">+IF(I53=0,0,K53/I53-1)</f>
        <v>0</v>
      </c>
      <c r="N53" s="551">
        <f t="shared" ref="N53:N65" si="54">+I53*0.166386</f>
        <v>0</v>
      </c>
      <c r="O53" s="458">
        <f t="shared" ref="O53:O65" si="55">+L53*0.166386</f>
        <v>4.4857665600000001</v>
      </c>
      <c r="P53" s="458">
        <v>24.36</v>
      </c>
      <c r="Q53" s="102">
        <v>24.36</v>
      </c>
      <c r="R53" s="460">
        <v>0</v>
      </c>
      <c r="S53" s="553">
        <f t="shared" ref="S53:S66" si="56">-R53+M53</f>
        <v>0</v>
      </c>
      <c r="W53" s="546" t="str">
        <f>+B53</f>
        <v>Antena 3</v>
      </c>
      <c r="X53" s="627">
        <f>+D53</f>
        <v>6.74</v>
      </c>
      <c r="Y53" s="624">
        <v>0</v>
      </c>
      <c r="Z53" s="637" t="str">
        <f>IF(Y53&lt;&gt;0,X53/Y53,"-")</f>
        <v>-</v>
      </c>
      <c r="AA53" s="632">
        <f>+IF($X53&lt;&gt;0,+Y53/$X53,"-")</f>
        <v>0</v>
      </c>
      <c r="AB53" s="624">
        <v>0</v>
      </c>
      <c r="AC53" s="632">
        <f>+IF($X53&lt;&gt;0,+AB53/$X53,"-")</f>
        <v>0</v>
      </c>
      <c r="AD53" s="634" t="str">
        <f t="shared" ref="AD53:AD64" si="57">+IF($Y53&lt;&gt;0,+AB53/$Y53,"-")</f>
        <v>-</v>
      </c>
      <c r="AF53" s="546" t="str">
        <f>+B53</f>
        <v>Antena 3</v>
      </c>
      <c r="AG53" s="106">
        <f>SUMIF($AF$8:$AF$42,$AF53,AG$8:AG$42)</f>
        <v>4</v>
      </c>
      <c r="AH53" s="60">
        <f t="shared" ref="AH53:AI65" si="58">SUMIF($AF$8:$AF$42,$AF53,AH$8:AH$42)</f>
        <v>0</v>
      </c>
      <c r="AI53" s="60">
        <f t="shared" si="58"/>
        <v>0</v>
      </c>
      <c r="AJ53" s="97">
        <f>SUM(AG53:AI53)</f>
        <v>4</v>
      </c>
      <c r="AK53" s="63">
        <f t="shared" ref="AK53:AM65" si="59">SUMIF($AF$8:$AF$42,$AF53,AK$8:AK$42)</f>
        <v>26.96</v>
      </c>
      <c r="AL53" s="59">
        <f t="shared" si="59"/>
        <v>0</v>
      </c>
      <c r="AM53" s="59">
        <f t="shared" si="59"/>
        <v>0</v>
      </c>
      <c r="AN53" s="64">
        <f>+AM53+AL53+AK53</f>
        <v>26.96</v>
      </c>
    </row>
    <row r="54" spans="2:40">
      <c r="B54" s="463" t="s">
        <v>27</v>
      </c>
      <c r="C54" s="464">
        <v>40479</v>
      </c>
      <c r="D54" s="556">
        <v>8.0079999999999991</v>
      </c>
      <c r="E54" s="1"/>
      <c r="F54" s="455">
        <f t="shared" ref="F54:F65" si="60">SUMIF($C$8:$C$42,$B54,F$8:F$42)</f>
        <v>7700</v>
      </c>
      <c r="G54" s="456">
        <f t="shared" si="47"/>
        <v>0.15684265367864714</v>
      </c>
      <c r="H54" s="457">
        <f t="shared" si="48"/>
        <v>0.15897937579731752</v>
      </c>
      <c r="I54" s="458">
        <f t="shared" si="49"/>
        <v>64000.097000000009</v>
      </c>
      <c r="J54" s="459">
        <f t="shared" si="50"/>
        <v>8.3117009090909111</v>
      </c>
      <c r="K54" s="458">
        <f t="shared" si="51"/>
        <v>61661.599999999991</v>
      </c>
      <c r="L54" s="102">
        <f t="shared" si="52"/>
        <v>-2338.4970000000176</v>
      </c>
      <c r="M54" s="460">
        <f t="shared" si="53"/>
        <v>-3.653896024563863E-2</v>
      </c>
      <c r="N54" s="458">
        <f t="shared" si="54"/>
        <v>10648.720139442003</v>
      </c>
      <c r="O54" s="461">
        <f t="shared" si="55"/>
        <v>-389.09316184200293</v>
      </c>
      <c r="P54" s="458">
        <v>0</v>
      </c>
      <c r="Q54" s="102">
        <v>0</v>
      </c>
      <c r="R54" s="460">
        <v>0</v>
      </c>
      <c r="S54" s="462">
        <f t="shared" si="56"/>
        <v>-3.653896024563863E-2</v>
      </c>
      <c r="W54" s="454" t="str">
        <f t="shared" ref="W54:W65" si="61">+B54</f>
        <v>BBVA</v>
      </c>
      <c r="X54" s="627">
        <f t="shared" ref="X54:X65" si="62">+D54</f>
        <v>8.0079999999999991</v>
      </c>
      <c r="Y54" s="624">
        <v>1.28</v>
      </c>
      <c r="Z54" s="637">
        <f t="shared" ref="Z54:Z65" si="63">IF(Y54&lt;&gt;0,X54/Y54,"-")</f>
        <v>6.2562499999999988</v>
      </c>
      <c r="AA54" s="632">
        <f t="shared" ref="AA54:AA65" si="64">+IF($X54&lt;&gt;0,+Y54/$X54,"-")</f>
        <v>0.15984015984015987</v>
      </c>
      <c r="AB54" s="624">
        <v>0.45</v>
      </c>
      <c r="AC54" s="632">
        <f t="shared" ref="AC54:AC65" si="65">+IF($X54&lt;&gt;0,+AB54/$X54,"-")</f>
        <v>5.6193806193806199E-2</v>
      </c>
      <c r="AD54" s="634">
        <f t="shared" si="57"/>
        <v>0.3515625</v>
      </c>
      <c r="AF54" s="454" t="str">
        <f t="shared" ref="AF54:AF65" si="66">+B54</f>
        <v>BBVA</v>
      </c>
      <c r="AG54" s="4">
        <f t="shared" ref="AG54:AG65" si="67">SUMIF($AF$8:$AF$42,$AF54,AG$8:AG$42)</f>
        <v>2800</v>
      </c>
      <c r="AH54" s="5">
        <f t="shared" si="58"/>
        <v>4900</v>
      </c>
      <c r="AI54" s="5">
        <f t="shared" si="58"/>
        <v>0</v>
      </c>
      <c r="AJ54" s="6">
        <f t="shared" ref="AJ54:AJ65" si="68">+AI54+AH54+AG54</f>
        <v>7700</v>
      </c>
      <c r="AK54" s="34">
        <f t="shared" si="59"/>
        <v>22422.399999999998</v>
      </c>
      <c r="AL54" s="30">
        <f t="shared" si="59"/>
        <v>39239.199999999997</v>
      </c>
      <c r="AM54" s="30">
        <f t="shared" si="59"/>
        <v>0</v>
      </c>
      <c r="AN54" s="32">
        <f t="shared" ref="AN54:AN65" si="69">+AM54+AL54+AK54</f>
        <v>61661.599999999991</v>
      </c>
    </row>
    <row r="55" spans="2:40" s="453" customFormat="1">
      <c r="B55" s="463" t="s">
        <v>11</v>
      </c>
      <c r="C55" s="464">
        <v>40479</v>
      </c>
      <c r="D55" s="556">
        <v>4.3360000000000003</v>
      </c>
      <c r="F55" s="455">
        <f t="shared" si="60"/>
        <v>5</v>
      </c>
      <c r="G55" s="456">
        <f t="shared" si="47"/>
        <v>0</v>
      </c>
      <c r="H55" s="457">
        <f t="shared" si="48"/>
        <v>5.5896585026756431E-5</v>
      </c>
      <c r="I55" s="458">
        <f t="shared" si="49"/>
        <v>0</v>
      </c>
      <c r="J55" s="459">
        <f t="shared" si="50"/>
        <v>0</v>
      </c>
      <c r="K55" s="458">
        <f t="shared" si="51"/>
        <v>21.68</v>
      </c>
      <c r="L55" s="102">
        <f t="shared" si="52"/>
        <v>21.68</v>
      </c>
      <c r="M55" s="460">
        <f t="shared" si="53"/>
        <v>0</v>
      </c>
      <c r="N55" s="458">
        <f t="shared" si="54"/>
        <v>0</v>
      </c>
      <c r="O55" s="461">
        <f t="shared" si="55"/>
        <v>3.60724848</v>
      </c>
      <c r="P55" s="458">
        <v>25.150000000000002</v>
      </c>
      <c r="Q55" s="102">
        <v>25.150000000000002</v>
      </c>
      <c r="R55" s="460">
        <v>0</v>
      </c>
      <c r="S55" s="462">
        <f t="shared" si="56"/>
        <v>0</v>
      </c>
      <c r="W55" s="463" t="str">
        <f t="shared" si="61"/>
        <v>Bk</v>
      </c>
      <c r="X55" s="627">
        <f t="shared" si="62"/>
        <v>4.3360000000000003</v>
      </c>
      <c r="Y55" s="624">
        <v>0</v>
      </c>
      <c r="Z55" s="637" t="str">
        <f t="shared" si="63"/>
        <v>-</v>
      </c>
      <c r="AA55" s="632">
        <f t="shared" si="64"/>
        <v>0</v>
      </c>
      <c r="AB55" s="624">
        <v>0</v>
      </c>
      <c r="AC55" s="632">
        <f t="shared" si="65"/>
        <v>0</v>
      </c>
      <c r="AD55" s="634" t="str">
        <f t="shared" si="57"/>
        <v>-</v>
      </c>
      <c r="AF55" s="463" t="str">
        <f t="shared" si="66"/>
        <v>Bk</v>
      </c>
      <c r="AG55" s="4">
        <f t="shared" si="67"/>
        <v>5</v>
      </c>
      <c r="AH55" s="5">
        <f t="shared" si="58"/>
        <v>0</v>
      </c>
      <c r="AI55" s="5">
        <f t="shared" si="58"/>
        <v>0</v>
      </c>
      <c r="AJ55" s="6">
        <f t="shared" si="68"/>
        <v>5</v>
      </c>
      <c r="AK55" s="34">
        <f t="shared" si="59"/>
        <v>21.68</v>
      </c>
      <c r="AL55" s="30">
        <f t="shared" si="59"/>
        <v>0</v>
      </c>
      <c r="AM55" s="30">
        <f t="shared" si="59"/>
        <v>0</v>
      </c>
      <c r="AN55" s="32">
        <f t="shared" si="69"/>
        <v>21.68</v>
      </c>
    </row>
    <row r="56" spans="2:40" s="453" customFormat="1">
      <c r="B56" s="463" t="s">
        <v>28</v>
      </c>
      <c r="C56" s="464">
        <v>40479</v>
      </c>
      <c r="D56" s="556">
        <v>8.34</v>
      </c>
      <c r="F56" s="455">
        <f t="shared" si="60"/>
        <v>1759</v>
      </c>
      <c r="G56" s="456">
        <f t="shared" si="47"/>
        <v>3.6826011109371962E-2</v>
      </c>
      <c r="H56" s="457">
        <f t="shared" si="48"/>
        <v>3.7823166796015613E-2</v>
      </c>
      <c r="I56" s="458">
        <f t="shared" si="49"/>
        <v>15026.960000000001</v>
      </c>
      <c r="J56" s="459">
        <f t="shared" si="50"/>
        <v>8.5428993746446853</v>
      </c>
      <c r="K56" s="458">
        <f t="shared" si="51"/>
        <v>14670.06</v>
      </c>
      <c r="L56" s="102">
        <f t="shared" si="52"/>
        <v>-356.90000000000146</v>
      </c>
      <c r="M56" s="460">
        <f t="shared" si="53"/>
        <v>-2.3750645506476431E-2</v>
      </c>
      <c r="N56" s="458">
        <f t="shared" si="54"/>
        <v>2500.2757665600002</v>
      </c>
      <c r="O56" s="461">
        <f t="shared" si="55"/>
        <v>-59.383163400000242</v>
      </c>
      <c r="P56" s="458">
        <v>15743</v>
      </c>
      <c r="Q56" s="102">
        <v>716.03999999999905</v>
      </c>
      <c r="R56" s="460">
        <v>4.76503564260502E-2</v>
      </c>
      <c r="S56" s="462">
        <f t="shared" si="56"/>
        <v>-7.1401001932526631E-2</v>
      </c>
      <c r="W56" s="463" t="str">
        <f t="shared" si="61"/>
        <v>BSCH</v>
      </c>
      <c r="X56" s="627">
        <f t="shared" si="62"/>
        <v>8.34</v>
      </c>
      <c r="Y56" s="624">
        <v>1.1000000000000001</v>
      </c>
      <c r="Z56" s="637">
        <f t="shared" si="63"/>
        <v>7.5818181818181811</v>
      </c>
      <c r="AA56" s="632">
        <f t="shared" si="64"/>
        <v>0.13189448441247004</v>
      </c>
      <c r="AB56" s="624">
        <v>0.6</v>
      </c>
      <c r="AC56" s="632">
        <f t="shared" si="65"/>
        <v>7.1942446043165464E-2</v>
      </c>
      <c r="AD56" s="634">
        <f t="shared" si="57"/>
        <v>0.54545454545454541</v>
      </c>
      <c r="AF56" s="463" t="str">
        <f t="shared" si="66"/>
        <v>BSCH</v>
      </c>
      <c r="AG56" s="4">
        <f t="shared" si="67"/>
        <v>1012</v>
      </c>
      <c r="AH56" s="5">
        <f t="shared" si="58"/>
        <v>747</v>
      </c>
      <c r="AI56" s="5">
        <f t="shared" si="58"/>
        <v>0</v>
      </c>
      <c r="AJ56" s="6">
        <f t="shared" si="68"/>
        <v>1759</v>
      </c>
      <c r="AK56" s="34">
        <f t="shared" si="59"/>
        <v>8440.08</v>
      </c>
      <c r="AL56" s="30">
        <f t="shared" si="59"/>
        <v>6229.98</v>
      </c>
      <c r="AM56" s="30">
        <f t="shared" si="59"/>
        <v>0</v>
      </c>
      <c r="AN56" s="32">
        <f t="shared" si="69"/>
        <v>14670.06</v>
      </c>
    </row>
    <row r="57" spans="2:40" s="453" customFormat="1">
      <c r="B57" s="463" t="s">
        <v>397</v>
      </c>
      <c r="C57" s="464">
        <v>40479</v>
      </c>
      <c r="D57" s="556">
        <v>17.5</v>
      </c>
      <c r="F57" s="455">
        <f t="shared" si="60"/>
        <v>400</v>
      </c>
      <c r="G57" s="456">
        <f t="shared" si="47"/>
        <v>1.3953975668819214E-2</v>
      </c>
      <c r="H57" s="457">
        <f t="shared" si="48"/>
        <v>1.8047790368417665E-2</v>
      </c>
      <c r="I57" s="458">
        <f t="shared" si="49"/>
        <v>5693.96</v>
      </c>
      <c r="J57" s="459">
        <f t="shared" si="50"/>
        <v>14.2349</v>
      </c>
      <c r="K57" s="458">
        <f t="shared" si="51"/>
        <v>7000</v>
      </c>
      <c r="L57" s="102">
        <f t="shared" si="52"/>
        <v>1306.04</v>
      </c>
      <c r="M57" s="460">
        <f t="shared" si="53"/>
        <v>0.22937287933178307</v>
      </c>
      <c r="N57" s="458">
        <f t="shared" si="54"/>
        <v>947.39522856000008</v>
      </c>
      <c r="O57" s="461">
        <f t="shared" si="55"/>
        <v>217.30677144000001</v>
      </c>
      <c r="P57" s="458">
        <v>7231.9999999999991</v>
      </c>
      <c r="Q57" s="102">
        <v>1538.0399999999991</v>
      </c>
      <c r="R57" s="460">
        <v>0.27011780904677929</v>
      </c>
      <c r="S57" s="462">
        <f t="shared" si="56"/>
        <v>-4.0744929714996214E-2</v>
      </c>
      <c r="W57" s="463" t="str">
        <f t="shared" si="61"/>
        <v>EADS</v>
      </c>
      <c r="X57" s="627">
        <f t="shared" si="62"/>
        <v>17.5</v>
      </c>
      <c r="Y57" s="624">
        <v>0.71</v>
      </c>
      <c r="Z57" s="637">
        <f t="shared" si="63"/>
        <v>24.647887323943664</v>
      </c>
      <c r="AA57" s="632">
        <f t="shared" si="64"/>
        <v>4.0571428571428571E-2</v>
      </c>
      <c r="AB57" s="624">
        <v>0.15</v>
      </c>
      <c r="AC57" s="632">
        <f t="shared" si="65"/>
        <v>8.5714285714285719E-3</v>
      </c>
      <c r="AD57" s="634">
        <f t="shared" si="57"/>
        <v>0.21126760563380281</v>
      </c>
      <c r="AF57" s="463" t="str">
        <f t="shared" si="66"/>
        <v>EADS</v>
      </c>
      <c r="AG57" s="4">
        <f t="shared" si="67"/>
        <v>0</v>
      </c>
      <c r="AH57" s="5">
        <f t="shared" si="58"/>
        <v>0</v>
      </c>
      <c r="AI57" s="5">
        <f t="shared" si="58"/>
        <v>400</v>
      </c>
      <c r="AJ57" s="6">
        <f t="shared" si="68"/>
        <v>400</v>
      </c>
      <c r="AK57" s="34">
        <f t="shared" si="59"/>
        <v>0</v>
      </c>
      <c r="AL57" s="30">
        <f t="shared" si="59"/>
        <v>0</v>
      </c>
      <c r="AM57" s="30">
        <f t="shared" si="59"/>
        <v>7000</v>
      </c>
      <c r="AN57" s="32">
        <f t="shared" si="69"/>
        <v>7000</v>
      </c>
    </row>
    <row r="58" spans="2:40" s="453" customFormat="1">
      <c r="B58" s="463" t="s">
        <v>349</v>
      </c>
      <c r="C58" s="464">
        <v>40479</v>
      </c>
      <c r="D58" s="556">
        <v>31.62</v>
      </c>
      <c r="F58" s="455">
        <f t="shared" si="60"/>
        <v>2450</v>
      </c>
      <c r="G58" s="456">
        <f t="shared" si="47"/>
        <v>0.20137625155328093</v>
      </c>
      <c r="H58" s="457">
        <f t="shared" si="48"/>
        <v>0.19973489600727831</v>
      </c>
      <c r="I58" s="458">
        <f t="shared" si="49"/>
        <v>82172.160000000003</v>
      </c>
      <c r="J58" s="459">
        <f t="shared" si="50"/>
        <v>33.539657142857145</v>
      </c>
      <c r="K58" s="458">
        <f t="shared" si="51"/>
        <v>77469</v>
      </c>
      <c r="L58" s="102">
        <f t="shared" si="52"/>
        <v>-4703.1600000000035</v>
      </c>
      <c r="M58" s="460">
        <f t="shared" si="53"/>
        <v>-5.7235443245011508E-2</v>
      </c>
      <c r="N58" s="458">
        <f t="shared" si="54"/>
        <v>13672.29701376</v>
      </c>
      <c r="O58" s="461">
        <f t="shared" si="55"/>
        <v>-782.53997976000062</v>
      </c>
      <c r="P58" s="458">
        <v>76942.25</v>
      </c>
      <c r="Q58" s="102">
        <v>-5229.9100000000035</v>
      </c>
      <c r="R58" s="460">
        <v>-6.3645765183731329E-2</v>
      </c>
      <c r="S58" s="462">
        <f t="shared" si="56"/>
        <v>6.4103219387198207E-3</v>
      </c>
      <c r="W58" s="463" t="str">
        <f t="shared" si="61"/>
        <v>EDF</v>
      </c>
      <c r="X58" s="627">
        <f t="shared" si="62"/>
        <v>31.62</v>
      </c>
      <c r="Y58" s="624">
        <v>2.14</v>
      </c>
      <c r="Z58" s="637">
        <f t="shared" si="63"/>
        <v>14.775700934579438</v>
      </c>
      <c r="AA58" s="632">
        <f t="shared" si="64"/>
        <v>6.7678684376976606E-2</v>
      </c>
      <c r="AB58" s="624">
        <v>1.1499999999999999</v>
      </c>
      <c r="AC58" s="632">
        <f t="shared" si="65"/>
        <v>3.6369386464263118E-2</v>
      </c>
      <c r="AD58" s="634">
        <f t="shared" si="57"/>
        <v>0.53738317757009335</v>
      </c>
      <c r="AF58" s="463" t="str">
        <f t="shared" si="66"/>
        <v>EDF</v>
      </c>
      <c r="AG58" s="4">
        <f t="shared" si="67"/>
        <v>800</v>
      </c>
      <c r="AH58" s="5">
        <f t="shared" si="58"/>
        <v>0</v>
      </c>
      <c r="AI58" s="5">
        <f t="shared" si="58"/>
        <v>1650</v>
      </c>
      <c r="AJ58" s="6">
        <f t="shared" si="68"/>
        <v>2450</v>
      </c>
      <c r="AK58" s="34">
        <f t="shared" si="59"/>
        <v>25296</v>
      </c>
      <c r="AL58" s="30">
        <f t="shared" si="59"/>
        <v>0</v>
      </c>
      <c r="AM58" s="30">
        <f t="shared" si="59"/>
        <v>52173</v>
      </c>
      <c r="AN58" s="32">
        <f t="shared" si="69"/>
        <v>77469</v>
      </c>
    </row>
    <row r="59" spans="2:40" s="453" customFormat="1">
      <c r="B59" s="463" t="s">
        <v>10</v>
      </c>
      <c r="C59" s="464">
        <v>40479</v>
      </c>
      <c r="D59" s="556">
        <v>18.100000000000001</v>
      </c>
      <c r="F59" s="5">
        <f t="shared" si="60"/>
        <v>200</v>
      </c>
      <c r="G59" s="242">
        <f t="shared" si="47"/>
        <v>9.3939049577929073E-3</v>
      </c>
      <c r="H59" s="248">
        <f t="shared" si="48"/>
        <v>9.3332858762388525E-3</v>
      </c>
      <c r="I59" s="4">
        <f t="shared" si="49"/>
        <v>3833.2100000000005</v>
      </c>
      <c r="J59" s="32">
        <f t="shared" si="50"/>
        <v>19.166050000000002</v>
      </c>
      <c r="K59" s="4">
        <f t="shared" si="51"/>
        <v>3620.0000000000005</v>
      </c>
      <c r="L59" s="12">
        <f t="shared" si="52"/>
        <v>-213.21000000000004</v>
      </c>
      <c r="M59" s="7">
        <f t="shared" si="53"/>
        <v>-5.5621789570620916E-2</v>
      </c>
      <c r="N59" s="4">
        <f t="shared" si="54"/>
        <v>637.79247906000012</v>
      </c>
      <c r="O59" s="6">
        <f t="shared" si="55"/>
        <v>-35.47515906000001</v>
      </c>
      <c r="P59" s="4">
        <v>0</v>
      </c>
      <c r="Q59" s="12">
        <v>0</v>
      </c>
      <c r="R59" s="7">
        <v>0</v>
      </c>
      <c r="S59" s="375">
        <f t="shared" si="56"/>
        <v>-5.5621789570620916E-2</v>
      </c>
      <c r="W59" s="24" t="str">
        <f t="shared" si="61"/>
        <v>Endesa</v>
      </c>
      <c r="X59" s="627">
        <f t="shared" si="62"/>
        <v>18.100000000000001</v>
      </c>
      <c r="Y59" s="624">
        <v>0</v>
      </c>
      <c r="Z59" s="637" t="str">
        <f t="shared" si="63"/>
        <v>-</v>
      </c>
      <c r="AA59" s="632">
        <f t="shared" si="64"/>
        <v>0</v>
      </c>
      <c r="AB59" s="624">
        <v>0</v>
      </c>
      <c r="AC59" s="632">
        <f t="shared" si="65"/>
        <v>0</v>
      </c>
      <c r="AD59" s="634" t="str">
        <f t="shared" si="57"/>
        <v>-</v>
      </c>
      <c r="AF59" s="24" t="str">
        <f t="shared" si="66"/>
        <v>Endesa</v>
      </c>
      <c r="AG59" s="4">
        <f t="shared" si="67"/>
        <v>200</v>
      </c>
      <c r="AH59" s="5">
        <f t="shared" si="58"/>
        <v>0</v>
      </c>
      <c r="AI59" s="5">
        <f t="shared" si="58"/>
        <v>0</v>
      </c>
      <c r="AJ59" s="6">
        <f t="shared" si="68"/>
        <v>200</v>
      </c>
      <c r="AK59" s="34">
        <f t="shared" si="59"/>
        <v>3620.0000000000005</v>
      </c>
      <c r="AL59" s="30">
        <f t="shared" si="59"/>
        <v>0</v>
      </c>
      <c r="AM59" s="30">
        <f t="shared" si="59"/>
        <v>0</v>
      </c>
      <c r="AN59" s="32">
        <f t="shared" si="69"/>
        <v>3620.0000000000005</v>
      </c>
    </row>
    <row r="60" spans="2:40" s="453" customFormat="1">
      <c r="B60" s="463" t="s">
        <v>521</v>
      </c>
      <c r="C60" s="464">
        <v>40479</v>
      </c>
      <c r="D60" s="556">
        <v>11.3</v>
      </c>
      <c r="F60" s="455">
        <f t="shared" si="60"/>
        <v>8000</v>
      </c>
      <c r="G60" s="456">
        <f t="shared" si="47"/>
        <v>0.24427097361555009</v>
      </c>
      <c r="H60" s="457">
        <f t="shared" si="48"/>
        <v>0.23307432132927958</v>
      </c>
      <c r="I60" s="458">
        <f t="shared" si="49"/>
        <v>99675.474999999991</v>
      </c>
      <c r="J60" s="459">
        <f t="shared" si="50"/>
        <v>12.459434374999999</v>
      </c>
      <c r="K60" s="458">
        <f t="shared" si="51"/>
        <v>90400</v>
      </c>
      <c r="L60" s="102">
        <f t="shared" si="52"/>
        <v>-9275.4749999999913</v>
      </c>
      <c r="M60" s="460">
        <f t="shared" si="53"/>
        <v>-9.3056742393251568E-2</v>
      </c>
      <c r="N60" s="458">
        <f t="shared" si="54"/>
        <v>16584.603583349999</v>
      </c>
      <c r="O60" s="461">
        <f t="shared" si="55"/>
        <v>-1543.3091833499986</v>
      </c>
      <c r="P60" s="458">
        <v>75250</v>
      </c>
      <c r="Q60" s="102">
        <v>-14036.304999999993</v>
      </c>
      <c r="R60" s="460">
        <v>-0.15720557592790962</v>
      </c>
      <c r="S60" s="462">
        <f t="shared" si="56"/>
        <v>6.4148833534658056E-2</v>
      </c>
      <c r="W60" s="463" t="str">
        <f t="shared" si="61"/>
        <v>GAS</v>
      </c>
      <c r="X60" s="627">
        <f t="shared" si="62"/>
        <v>11.3</v>
      </c>
      <c r="Y60" s="624">
        <v>1.41</v>
      </c>
      <c r="Z60" s="637">
        <f t="shared" si="63"/>
        <v>8.0141843971631221</v>
      </c>
      <c r="AA60" s="632">
        <f t="shared" si="64"/>
        <v>0.12477876106194689</v>
      </c>
      <c r="AB60" s="624">
        <v>0.86</v>
      </c>
      <c r="AC60" s="632">
        <f t="shared" si="65"/>
        <v>7.6106194690265486E-2</v>
      </c>
      <c r="AD60" s="634">
        <f t="shared" si="57"/>
        <v>0.60992907801418439</v>
      </c>
      <c r="AF60" s="463" t="str">
        <f t="shared" si="66"/>
        <v>GAS</v>
      </c>
      <c r="AG60" s="4">
        <f t="shared" si="67"/>
        <v>8000</v>
      </c>
      <c r="AH60" s="5">
        <f t="shared" si="58"/>
        <v>0</v>
      </c>
      <c r="AI60" s="5">
        <f t="shared" si="58"/>
        <v>0</v>
      </c>
      <c r="AJ60" s="6">
        <f t="shared" si="68"/>
        <v>8000</v>
      </c>
      <c r="AK60" s="34">
        <f t="shared" si="59"/>
        <v>90400</v>
      </c>
      <c r="AL60" s="30">
        <f t="shared" si="59"/>
        <v>0</v>
      </c>
      <c r="AM60" s="30">
        <f t="shared" si="59"/>
        <v>0</v>
      </c>
      <c r="AN60" s="32">
        <f t="shared" si="69"/>
        <v>90400</v>
      </c>
    </row>
    <row r="61" spans="2:40" s="453" customFormat="1">
      <c r="B61" s="463" t="s">
        <v>596</v>
      </c>
      <c r="C61" s="464">
        <v>40479</v>
      </c>
      <c r="D61" s="556">
        <v>5.0069999999999997</v>
      </c>
      <c r="F61" s="5">
        <f t="shared" si="60"/>
        <v>3545</v>
      </c>
      <c r="G61" s="242">
        <f t="shared" si="47"/>
        <v>5.7832834878009796E-2</v>
      </c>
      <c r="H61" s="248">
        <f t="shared" si="48"/>
        <v>4.5763562885456487E-2</v>
      </c>
      <c r="I61" s="4">
        <f t="shared" si="49"/>
        <v>23598.855000000003</v>
      </c>
      <c r="J61" s="32">
        <f t="shared" si="50"/>
        <v>6.6569407616361085</v>
      </c>
      <c r="K61" s="4">
        <f t="shared" si="51"/>
        <v>17749.814999999999</v>
      </c>
      <c r="L61" s="12">
        <f t="shared" si="52"/>
        <v>-5849.0400000000045</v>
      </c>
      <c r="M61" s="7">
        <f t="shared" si="53"/>
        <v>-0.2478527030230917</v>
      </c>
      <c r="N61" s="4">
        <f t="shared" si="54"/>
        <v>3926.5190880300006</v>
      </c>
      <c r="O61" s="6">
        <f t="shared" si="55"/>
        <v>-973.19836944000076</v>
      </c>
      <c r="P61" s="4">
        <v>7864.05</v>
      </c>
      <c r="Q61" s="12">
        <v>-6382.795000000001</v>
      </c>
      <c r="R61" s="7">
        <v>-0.44801463060768898</v>
      </c>
      <c r="S61" s="375">
        <f t="shared" si="56"/>
        <v>0.20016192758459728</v>
      </c>
      <c r="W61" s="463" t="str">
        <f t="shared" si="61"/>
        <v>GAM</v>
      </c>
      <c r="X61" s="627">
        <f t="shared" si="62"/>
        <v>5.0069999999999997</v>
      </c>
      <c r="Y61" s="624">
        <v>0.43</v>
      </c>
      <c r="Z61" s="637">
        <f t="shared" si="63"/>
        <v>11.644186046511628</v>
      </c>
      <c r="AA61" s="632">
        <f t="shared" si="64"/>
        <v>8.587976832434592E-2</v>
      </c>
      <c r="AB61" s="624">
        <v>0.12</v>
      </c>
      <c r="AC61" s="632">
        <f t="shared" si="65"/>
        <v>2.3966446974236069E-2</v>
      </c>
      <c r="AD61" s="634">
        <f t="shared" si="57"/>
        <v>0.27906976744186046</v>
      </c>
      <c r="AF61" s="463" t="str">
        <f t="shared" si="66"/>
        <v>GAM</v>
      </c>
      <c r="AG61" s="4">
        <f t="shared" si="67"/>
        <v>3545</v>
      </c>
      <c r="AH61" s="5">
        <f t="shared" si="58"/>
        <v>0</v>
      </c>
      <c r="AI61" s="5">
        <f t="shared" si="58"/>
        <v>0</v>
      </c>
      <c r="AJ61" s="6">
        <f t="shared" si="68"/>
        <v>3545</v>
      </c>
      <c r="AK61" s="34">
        <f t="shared" si="59"/>
        <v>17749.814999999999</v>
      </c>
      <c r="AL61" s="30">
        <f t="shared" si="59"/>
        <v>0</v>
      </c>
      <c r="AM61" s="30">
        <f t="shared" si="59"/>
        <v>0</v>
      </c>
      <c r="AN61" s="32">
        <f t="shared" si="69"/>
        <v>17749.814999999999</v>
      </c>
    </row>
    <row r="62" spans="2:40" s="453" customFormat="1">
      <c r="B62" s="24" t="s">
        <v>353</v>
      </c>
      <c r="C62" s="76">
        <v>40479</v>
      </c>
      <c r="D62" s="557">
        <v>5.673</v>
      </c>
      <c r="F62" s="5">
        <f t="shared" si="60"/>
        <v>0</v>
      </c>
      <c r="G62" s="242">
        <f t="shared" si="47"/>
        <v>0</v>
      </c>
      <c r="H62" s="248">
        <f t="shared" si="48"/>
        <v>0</v>
      </c>
      <c r="I62" s="4">
        <f t="shared" si="49"/>
        <v>0</v>
      </c>
      <c r="J62" s="32">
        <f t="shared" si="50"/>
        <v>0</v>
      </c>
      <c r="K62" s="4">
        <f t="shared" si="51"/>
        <v>0</v>
      </c>
      <c r="L62" s="12">
        <f t="shared" si="52"/>
        <v>0</v>
      </c>
      <c r="M62" s="7">
        <f t="shared" si="53"/>
        <v>0</v>
      </c>
      <c r="N62" s="4">
        <f t="shared" si="54"/>
        <v>0</v>
      </c>
      <c r="O62" s="6">
        <f t="shared" si="55"/>
        <v>0</v>
      </c>
      <c r="P62" s="4">
        <v>0</v>
      </c>
      <c r="Q62" s="12">
        <v>0</v>
      </c>
      <c r="R62" s="7">
        <v>0</v>
      </c>
      <c r="S62" s="375">
        <f t="shared" si="56"/>
        <v>0</v>
      </c>
      <c r="W62" s="24" t="str">
        <f t="shared" si="61"/>
        <v>IBR</v>
      </c>
      <c r="X62" s="627">
        <f t="shared" si="62"/>
        <v>5.673</v>
      </c>
      <c r="Y62" s="624">
        <v>0</v>
      </c>
      <c r="Z62" s="637" t="str">
        <f t="shared" si="63"/>
        <v>-</v>
      </c>
      <c r="AA62" s="632">
        <f t="shared" si="64"/>
        <v>0</v>
      </c>
      <c r="AB62" s="624">
        <v>0</v>
      </c>
      <c r="AC62" s="632">
        <f t="shared" si="65"/>
        <v>0</v>
      </c>
      <c r="AD62" s="634" t="str">
        <f t="shared" si="57"/>
        <v>-</v>
      </c>
      <c r="AF62" s="24" t="str">
        <f t="shared" si="66"/>
        <v>IBR</v>
      </c>
      <c r="AG62" s="4">
        <f t="shared" si="67"/>
        <v>0</v>
      </c>
      <c r="AH62" s="5">
        <f t="shared" si="58"/>
        <v>0</v>
      </c>
      <c r="AI62" s="5">
        <f t="shared" si="58"/>
        <v>0</v>
      </c>
      <c r="AJ62" s="6">
        <f t="shared" si="68"/>
        <v>0</v>
      </c>
      <c r="AK62" s="34">
        <f t="shared" si="59"/>
        <v>0</v>
      </c>
      <c r="AL62" s="30">
        <f t="shared" si="59"/>
        <v>0</v>
      </c>
      <c r="AM62" s="30">
        <f t="shared" si="59"/>
        <v>0</v>
      </c>
      <c r="AN62" s="32">
        <f t="shared" si="69"/>
        <v>0</v>
      </c>
    </row>
    <row r="63" spans="2:40" s="453" customFormat="1">
      <c r="B63" s="463" t="s">
        <v>308</v>
      </c>
      <c r="C63" s="465">
        <v>40479</v>
      </c>
      <c r="D63" s="556">
        <v>3.43</v>
      </c>
      <c r="F63" s="455">
        <f t="shared" si="60"/>
        <v>2000</v>
      </c>
      <c r="G63" s="242">
        <f t="shared" si="47"/>
        <v>1.4734732314164301E-2</v>
      </c>
      <c r="H63" s="248">
        <f t="shared" si="48"/>
        <v>1.7686834561049313E-2</v>
      </c>
      <c r="I63" s="4">
        <f t="shared" si="49"/>
        <v>6012.55</v>
      </c>
      <c r="J63" s="6">
        <f t="shared" si="50"/>
        <v>3.006275</v>
      </c>
      <c r="K63" s="4">
        <f t="shared" si="51"/>
        <v>6860</v>
      </c>
      <c r="L63" s="12">
        <f t="shared" si="52"/>
        <v>847.44999999999982</v>
      </c>
      <c r="M63" s="7">
        <f t="shared" si="53"/>
        <v>0.1409468528328246</v>
      </c>
      <c r="N63" s="4">
        <f t="shared" si="54"/>
        <v>1000.4041443000001</v>
      </c>
      <c r="O63" s="6">
        <f t="shared" si="55"/>
        <v>141.00381569999996</v>
      </c>
      <c r="P63" s="2">
        <v>5719.9999999999991</v>
      </c>
      <c r="Q63" s="1">
        <v>-292.55000000000109</v>
      </c>
      <c r="R63" s="7">
        <v>-4.8656560028606965E-2</v>
      </c>
      <c r="S63" s="375">
        <f t="shared" si="56"/>
        <v>0.18960341286143156</v>
      </c>
      <c r="W63" s="463" t="str">
        <f t="shared" si="61"/>
        <v>JAZZ</v>
      </c>
      <c r="X63" s="627">
        <f t="shared" si="62"/>
        <v>3.43</v>
      </c>
      <c r="Y63" s="624">
        <v>0</v>
      </c>
      <c r="Z63" s="637" t="str">
        <f t="shared" si="63"/>
        <v>-</v>
      </c>
      <c r="AA63" s="632">
        <f t="shared" si="64"/>
        <v>0</v>
      </c>
      <c r="AB63" s="624">
        <v>0</v>
      </c>
      <c r="AC63" s="632">
        <f t="shared" si="65"/>
        <v>0</v>
      </c>
      <c r="AD63" s="634" t="str">
        <f t="shared" si="57"/>
        <v>-</v>
      </c>
      <c r="AF63" s="463" t="str">
        <f t="shared" si="66"/>
        <v>JAZZ</v>
      </c>
      <c r="AG63" s="4">
        <f t="shared" si="67"/>
        <v>2000</v>
      </c>
      <c r="AH63" s="5">
        <f t="shared" si="58"/>
        <v>0</v>
      </c>
      <c r="AI63" s="5">
        <f t="shared" si="58"/>
        <v>0</v>
      </c>
      <c r="AJ63" s="6">
        <f t="shared" si="68"/>
        <v>2000</v>
      </c>
      <c r="AK63" s="34">
        <f t="shared" si="59"/>
        <v>6860</v>
      </c>
      <c r="AL63" s="30">
        <f t="shared" si="59"/>
        <v>0</v>
      </c>
      <c r="AM63" s="30">
        <f t="shared" si="59"/>
        <v>0</v>
      </c>
      <c r="AN63" s="32">
        <f t="shared" si="69"/>
        <v>6860</v>
      </c>
    </row>
    <row r="64" spans="2:40" s="453" customFormat="1">
      <c r="B64" s="463" t="s">
        <v>454</v>
      </c>
      <c r="C64" s="464">
        <v>40479</v>
      </c>
      <c r="D64" s="556">
        <v>0.65</v>
      </c>
      <c r="F64" s="455">
        <f t="shared" si="60"/>
        <v>4000</v>
      </c>
      <c r="G64" s="456">
        <f t="shared" si="47"/>
        <v>1.9639243674624839E-2</v>
      </c>
      <c r="H64" s="457">
        <f t="shared" si="48"/>
        <v>6.7034649939837045E-3</v>
      </c>
      <c r="I64" s="458">
        <f t="shared" si="49"/>
        <v>8013.8499999999995</v>
      </c>
      <c r="J64" s="459">
        <f t="shared" si="50"/>
        <v>2.0034624999999999</v>
      </c>
      <c r="K64" s="458">
        <f t="shared" si="51"/>
        <v>2600</v>
      </c>
      <c r="L64" s="102">
        <f t="shared" si="52"/>
        <v>-5413.8499999999995</v>
      </c>
      <c r="M64" s="460">
        <f t="shared" si="53"/>
        <v>-0.67556168383486082</v>
      </c>
      <c r="N64" s="458">
        <f t="shared" si="54"/>
        <v>1333.3924460999999</v>
      </c>
      <c r="O64" s="461">
        <f t="shared" si="55"/>
        <v>-900.78884609999989</v>
      </c>
      <c r="P64" s="458">
        <v>4120</v>
      </c>
      <c r="Q64" s="102">
        <v>-3893.8499999999995</v>
      </c>
      <c r="R64" s="460">
        <v>-0.48589005284601028</v>
      </c>
      <c r="S64" s="462">
        <f t="shared" si="56"/>
        <v>-0.18967163098885054</v>
      </c>
      <c r="W64" s="463" t="str">
        <f t="shared" si="61"/>
        <v>SOS</v>
      </c>
      <c r="X64" s="627">
        <f t="shared" si="62"/>
        <v>0.65</v>
      </c>
      <c r="Y64" s="624">
        <v>0</v>
      </c>
      <c r="Z64" s="637" t="str">
        <f t="shared" si="63"/>
        <v>-</v>
      </c>
      <c r="AA64" s="632">
        <f t="shared" si="64"/>
        <v>0</v>
      </c>
      <c r="AB64" s="624">
        <v>0</v>
      </c>
      <c r="AC64" s="632">
        <f t="shared" si="65"/>
        <v>0</v>
      </c>
      <c r="AD64" s="634" t="str">
        <f t="shared" si="57"/>
        <v>-</v>
      </c>
      <c r="AF64" s="463" t="str">
        <f t="shared" si="66"/>
        <v>SOS</v>
      </c>
      <c r="AG64" s="4">
        <f t="shared" si="67"/>
        <v>4000</v>
      </c>
      <c r="AH64" s="5">
        <f t="shared" si="58"/>
        <v>0</v>
      </c>
      <c r="AI64" s="5">
        <f t="shared" si="58"/>
        <v>0</v>
      </c>
      <c r="AJ64" s="6">
        <f t="shared" si="68"/>
        <v>4000</v>
      </c>
      <c r="AK64" s="34">
        <f t="shared" si="59"/>
        <v>2600</v>
      </c>
      <c r="AL64" s="30">
        <f t="shared" si="59"/>
        <v>0</v>
      </c>
      <c r="AM64" s="30">
        <f t="shared" si="59"/>
        <v>0</v>
      </c>
      <c r="AN64" s="32">
        <f t="shared" si="69"/>
        <v>2600</v>
      </c>
    </row>
    <row r="65" spans="2:40">
      <c r="B65" s="463" t="s">
        <v>17</v>
      </c>
      <c r="C65" s="464">
        <v>40479</v>
      </c>
      <c r="D65" s="556">
        <v>17.2</v>
      </c>
      <c r="E65" s="1"/>
      <c r="F65" s="455">
        <f t="shared" si="60"/>
        <v>6150</v>
      </c>
      <c r="G65" s="456">
        <f t="shared" si="47"/>
        <v>0.24512941854973885</v>
      </c>
      <c r="H65" s="457">
        <f t="shared" si="48"/>
        <v>0.2727278950244601</v>
      </c>
      <c r="I65" s="458">
        <f t="shared" si="49"/>
        <v>100025.76593023256</v>
      </c>
      <c r="J65" s="459">
        <f t="shared" si="50"/>
        <v>16.264352183777653</v>
      </c>
      <c r="K65" s="458">
        <f t="shared" si="51"/>
        <v>105780</v>
      </c>
      <c r="L65" s="102">
        <f t="shared" si="52"/>
        <v>5754.2340697674372</v>
      </c>
      <c r="M65" s="460">
        <f t="shared" si="53"/>
        <v>5.7527518197471039E-2</v>
      </c>
      <c r="N65" s="458">
        <f t="shared" si="54"/>
        <v>16642.887090067677</v>
      </c>
      <c r="O65" s="461">
        <f t="shared" si="55"/>
        <v>957.42398993232484</v>
      </c>
      <c r="P65" s="458">
        <v>120930.24999999999</v>
      </c>
      <c r="Q65" s="102">
        <v>13713.494999999981</v>
      </c>
      <c r="R65" s="460">
        <v>0.12790440262811509</v>
      </c>
      <c r="S65" s="554">
        <f t="shared" si="56"/>
        <v>-7.0376884430644049E-2</v>
      </c>
      <c r="W65" s="636" t="str">
        <f t="shared" si="61"/>
        <v>Telef.</v>
      </c>
      <c r="X65" s="628">
        <f t="shared" si="62"/>
        <v>17.2</v>
      </c>
      <c r="Y65" s="625">
        <v>1.79</v>
      </c>
      <c r="Z65" s="638">
        <f t="shared" si="63"/>
        <v>9.6089385474860336</v>
      </c>
      <c r="AA65" s="633">
        <f t="shared" si="64"/>
        <v>0.10406976744186047</v>
      </c>
      <c r="AB65" s="625">
        <v>1.4</v>
      </c>
      <c r="AC65" s="633">
        <f t="shared" si="65"/>
        <v>8.1395348837209294E-2</v>
      </c>
      <c r="AD65" s="635">
        <f>+IF($Y65&lt;&gt;0,+AB65/$Y65,"-")</f>
        <v>0.78212290502793291</v>
      </c>
      <c r="AF65" s="636" t="str">
        <f t="shared" si="66"/>
        <v>Telef.</v>
      </c>
      <c r="AG65" s="266">
        <f t="shared" si="67"/>
        <v>6150</v>
      </c>
      <c r="AH65" s="10">
        <f t="shared" si="58"/>
        <v>0</v>
      </c>
      <c r="AI65" s="10">
        <f t="shared" si="58"/>
        <v>0</v>
      </c>
      <c r="AJ65" s="11">
        <f t="shared" si="68"/>
        <v>6150</v>
      </c>
      <c r="AK65" s="35">
        <f t="shared" si="59"/>
        <v>105780</v>
      </c>
      <c r="AL65" s="31">
        <f t="shared" si="59"/>
        <v>0</v>
      </c>
      <c r="AM65" s="31">
        <f t="shared" si="59"/>
        <v>0</v>
      </c>
      <c r="AN65" s="33">
        <f t="shared" si="69"/>
        <v>105780</v>
      </c>
    </row>
    <row r="66" spans="2:40">
      <c r="B66" s="182" t="s">
        <v>18</v>
      </c>
      <c r="C66" s="85"/>
      <c r="D66" s="183"/>
      <c r="E66" s="108"/>
      <c r="F66" s="184"/>
      <c r="G66" s="246">
        <f t="shared" si="47"/>
        <v>1</v>
      </c>
      <c r="H66" s="249">
        <f t="shared" si="48"/>
        <v>1</v>
      </c>
      <c r="I66" s="189">
        <f>SUM(I53:I65)</f>
        <v>408052.88293023256</v>
      </c>
      <c r="J66" s="13"/>
      <c r="K66" s="189">
        <f>SUM(K53:K65)</f>
        <v>387859.11499999999</v>
      </c>
      <c r="L66" s="185">
        <f>SUM(L53:L65)</f>
        <v>-20193.767930232578</v>
      </c>
      <c r="M66" s="186">
        <f>+L66/I66</f>
        <v>-4.9488114837520303E-2</v>
      </c>
      <c r="N66" s="189">
        <f>SUM(N53:N65)</f>
        <v>67894.286979229684</v>
      </c>
      <c r="O66" s="13">
        <f>SUM(O53:O65)</f>
        <v>-3359.9602708396787</v>
      </c>
      <c r="P66" s="189">
        <v>313851.06</v>
      </c>
      <c r="Q66" s="185">
        <v>-13818.325000000019</v>
      </c>
      <c r="R66" s="186">
        <v>-4.2171547396776234E-2</v>
      </c>
      <c r="S66" s="376">
        <f t="shared" si="56"/>
        <v>-7.3165674407440692E-3</v>
      </c>
      <c r="V66" s="620"/>
      <c r="W66" s="620"/>
      <c r="X66" s="620"/>
      <c r="Y66" s="621"/>
      <c r="Z66" s="21"/>
      <c r="AA66" s="621"/>
      <c r="AB66" s="21"/>
      <c r="AC66" s="21"/>
      <c r="AK66" s="65">
        <f>SUM(AK53:AK65)</f>
        <v>283216.935</v>
      </c>
      <c r="AL66" s="62">
        <f t="shared" ref="AL66:AN66" si="70">SUM(AL53:AL65)</f>
        <v>45469.179999999993</v>
      </c>
      <c r="AM66" s="62">
        <f t="shared" si="70"/>
        <v>59173</v>
      </c>
      <c r="AN66" s="66">
        <f t="shared" si="70"/>
        <v>387859.11499999999</v>
      </c>
    </row>
    <row r="67" spans="2:40">
      <c r="Q67" s="12">
        <f>+L66-Q66</f>
        <v>-6375.4429302325589</v>
      </c>
    </row>
    <row r="68" spans="2:40">
      <c r="C68" s="51" t="s">
        <v>19</v>
      </c>
      <c r="D68" s="57"/>
      <c r="M68" s="306"/>
      <c r="N68" s="306"/>
      <c r="O68" s="306"/>
    </row>
    <row r="70" spans="2:40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0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</row>
    <row r="72" spans="2:40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0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71">+(G73+H73)*F73</f>
        <v>2333.8599999999997</v>
      </c>
      <c r="J73" s="66">
        <f t="shared" ref="J73:J86" si="72">+I73/F73</f>
        <v>19.13</v>
      </c>
      <c r="K73" s="741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73">+N73/F73</f>
        <v>19.260000000000002</v>
      </c>
      <c r="P73" s="62">
        <f t="shared" ref="P73:P86" si="74">+N73-I73</f>
        <v>15.860000000000582</v>
      </c>
      <c r="Q73" s="14">
        <f t="shared" ref="Q73:Q86" si="75">+P73/I73</f>
        <v>6.7956089911136849E-3</v>
      </c>
      <c r="R73" s="605">
        <f>+P73</f>
        <v>15.860000000000582</v>
      </c>
      <c r="S73" s="604">
        <v>1999</v>
      </c>
    </row>
    <row r="74" spans="2:40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71"/>
        <v>4054</v>
      </c>
      <c r="J74" s="64">
        <f t="shared" si="72"/>
        <v>20.27</v>
      </c>
      <c r="K74" s="90">
        <v>36830</v>
      </c>
      <c r="L74" s="81">
        <v>19.37</v>
      </c>
      <c r="M74" s="89">
        <v>0</v>
      </c>
      <c r="N74" s="63">
        <f t="shared" ref="N74:N83" si="76">+(L74-M74)*F74</f>
        <v>3874</v>
      </c>
      <c r="O74" s="64">
        <f t="shared" si="73"/>
        <v>19.37</v>
      </c>
      <c r="P74" s="59">
        <f t="shared" si="74"/>
        <v>-180</v>
      </c>
      <c r="Q74" s="61">
        <f t="shared" si="75"/>
        <v>-4.4400592007893439E-2</v>
      </c>
      <c r="R74" s="605">
        <f>SUM(P74:P75)</f>
        <v>353.97</v>
      </c>
      <c r="S74" s="604">
        <v>2000</v>
      </c>
    </row>
    <row r="75" spans="2:40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71"/>
        <v>1900.26</v>
      </c>
      <c r="J75" s="33">
        <f t="shared" si="72"/>
        <v>12.42</v>
      </c>
      <c r="K75" s="71" t="s">
        <v>41</v>
      </c>
      <c r="L75" s="73">
        <v>15.91</v>
      </c>
      <c r="M75" s="84">
        <v>0</v>
      </c>
      <c r="N75" s="35">
        <f t="shared" si="76"/>
        <v>2434.23</v>
      </c>
      <c r="O75" s="33">
        <f t="shared" si="73"/>
        <v>15.91</v>
      </c>
      <c r="P75" s="31">
        <f t="shared" si="74"/>
        <v>533.97</v>
      </c>
      <c r="Q75" s="15">
        <f t="shared" si="75"/>
        <v>0.28099838969404189</v>
      </c>
    </row>
    <row r="76" spans="2:40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71"/>
        <v>2883.2</v>
      </c>
      <c r="J76" s="64">
        <f t="shared" si="72"/>
        <v>18.02</v>
      </c>
      <c r="K76" s="90">
        <v>36909</v>
      </c>
      <c r="L76" s="81">
        <v>20.6325</v>
      </c>
      <c r="M76" s="89">
        <v>0</v>
      </c>
      <c r="N76" s="63">
        <f t="shared" si="76"/>
        <v>3301.2</v>
      </c>
      <c r="O76" s="64">
        <f t="shared" si="73"/>
        <v>20.6325</v>
      </c>
      <c r="P76" s="59">
        <f t="shared" si="74"/>
        <v>418</v>
      </c>
      <c r="Q76" s="61">
        <f t="shared" si="75"/>
        <v>0.14497780244173142</v>
      </c>
      <c r="R76" s="605">
        <f>SUM(P76:P78)</f>
        <v>4632.8526111111087</v>
      </c>
      <c r="S76" s="604">
        <v>2001</v>
      </c>
    </row>
    <row r="77" spans="2:40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71"/>
        <v>6051.5499999999993</v>
      </c>
      <c r="J77" s="32">
        <f t="shared" si="72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76"/>
        <v>10723.209999999997</v>
      </c>
      <c r="O77" s="32">
        <f t="shared" si="73"/>
        <v>16.886944881889761</v>
      </c>
      <c r="P77" s="30">
        <f t="shared" si="74"/>
        <v>4671.659999999998</v>
      </c>
      <c r="Q77" s="7">
        <f t="shared" si="75"/>
        <v>0.77197742727069896</v>
      </c>
    </row>
    <row r="78" spans="2:40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71"/>
        <v>6039.4573888888899</v>
      </c>
      <c r="J78" s="33">
        <f t="shared" si="72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76"/>
        <v>5582.6500000000005</v>
      </c>
      <c r="O78" s="33">
        <f t="shared" si="73"/>
        <v>15.81487252124646</v>
      </c>
      <c r="P78" s="31">
        <f t="shared" si="74"/>
        <v>-456.80738888888936</v>
      </c>
      <c r="Q78" s="15">
        <f t="shared" si="75"/>
        <v>-7.5637157359418103E-2</v>
      </c>
    </row>
    <row r="79" spans="2:40">
      <c r="B79" s="77" t="s">
        <v>9</v>
      </c>
      <c r="C79" s="78" t="s">
        <v>28</v>
      </c>
      <c r="D79" s="78" t="s">
        <v>11</v>
      </c>
      <c r="E79" s="79" t="s">
        <v>719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71"/>
        <v>3003.47</v>
      </c>
      <c r="J79" s="64">
        <f t="shared" si="72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76"/>
        <v>3339.19</v>
      </c>
      <c r="O79" s="64">
        <f t="shared" si="73"/>
        <v>7.0298736842105267</v>
      </c>
      <c r="P79" s="59">
        <f t="shared" si="74"/>
        <v>335.72000000000025</v>
      </c>
      <c r="Q79" s="61">
        <f t="shared" si="75"/>
        <v>0.11177737750002506</v>
      </c>
      <c r="R79" s="605">
        <f>SUM(P79:P83)</f>
        <v>-897.15555555555557</v>
      </c>
      <c r="S79" s="604">
        <v>2002</v>
      </c>
    </row>
    <row r="80" spans="2:40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71"/>
        <v>4180</v>
      </c>
      <c r="J80" s="32">
        <f t="shared" si="72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76"/>
        <v>2717.2737777777779</v>
      </c>
      <c r="O80" s="32">
        <f t="shared" si="73"/>
        <v>12.351244444444445</v>
      </c>
      <c r="P80" s="30">
        <f t="shared" si="74"/>
        <v>-1462.7262222222221</v>
      </c>
      <c r="Q80" s="7">
        <f t="shared" si="75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71"/>
        <v>68.425555555555562</v>
      </c>
      <c r="J81" s="32">
        <f t="shared" si="72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73"/>
        <v>12.351244444444445</v>
      </c>
      <c r="P81" s="30">
        <f t="shared" si="74"/>
        <v>-6.6693333333333342</v>
      </c>
      <c r="Q81" s="7">
        <f t="shared" si="75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71"/>
        <v>3076.27</v>
      </c>
      <c r="J82" s="32">
        <f t="shared" si="72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76"/>
        <v>3593.85</v>
      </c>
      <c r="O82" s="32">
        <f t="shared" si="73"/>
        <v>6.2285095320623913</v>
      </c>
      <c r="P82" s="30">
        <f t="shared" si="74"/>
        <v>517.57999999999993</v>
      </c>
      <c r="Q82" s="7">
        <f t="shared" si="75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71"/>
        <v>3851.6800000000003</v>
      </c>
      <c r="J83" s="33">
        <f t="shared" si="72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76"/>
        <v>3570.62</v>
      </c>
      <c r="O83" s="33">
        <f t="shared" si="73"/>
        <v>13.423383458646617</v>
      </c>
      <c r="P83" s="31">
        <f t="shared" si="74"/>
        <v>-281.0600000000004</v>
      </c>
      <c r="Q83" s="15">
        <f t="shared" si="75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77">+(G84+H84)*F84</f>
        <v>11351.199999999999</v>
      </c>
      <c r="J84" s="64">
        <f t="shared" si="72"/>
        <v>20.27</v>
      </c>
      <c r="K84" s="90">
        <v>37634</v>
      </c>
      <c r="L84" s="81">
        <v>11.89</v>
      </c>
      <c r="M84" s="89"/>
      <c r="N84" s="63">
        <f t="shared" ref="N84:N90" si="78">+(L84-M84)*F84</f>
        <v>6658.4000000000005</v>
      </c>
      <c r="O84" s="64">
        <f t="shared" si="73"/>
        <v>11.89</v>
      </c>
      <c r="P84" s="59">
        <f t="shared" si="74"/>
        <v>-4692.7999999999984</v>
      </c>
      <c r="Q84" s="61">
        <f t="shared" si="75"/>
        <v>-0.41341884558460767</v>
      </c>
      <c r="R84" s="605">
        <f>SUM(P84:P92)</f>
        <v>2567.2055555555603</v>
      </c>
      <c r="S84" s="604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7">
        <f>(3.97+7)/225</f>
        <v>4.8755555555555559E-2</v>
      </c>
      <c r="I85" s="34">
        <f t="shared" si="77"/>
        <v>1984.3411111111113</v>
      </c>
      <c r="J85" s="32">
        <f t="shared" si="72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78"/>
        <v>1883.09</v>
      </c>
      <c r="O85" s="32">
        <f t="shared" si="73"/>
        <v>12.986827586206896</v>
      </c>
      <c r="P85" s="30">
        <f t="shared" si="74"/>
        <v>-101.25111111111141</v>
      </c>
      <c r="Q85" s="7">
        <f t="shared" si="75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7">
        <f>(3.97+7)/225</f>
        <v>4.8755555555555559E-2</v>
      </c>
      <c r="I86" s="34">
        <f t="shared" si="77"/>
        <v>1026.3833333333334</v>
      </c>
      <c r="J86" s="32">
        <f t="shared" si="72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78"/>
        <v>972.48</v>
      </c>
      <c r="O86" s="32">
        <f t="shared" si="73"/>
        <v>12.9664</v>
      </c>
      <c r="P86" s="30">
        <f t="shared" si="74"/>
        <v>-53.903333333333421</v>
      </c>
      <c r="Q86" s="7">
        <f t="shared" si="75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8">
        <f>(7+5.4)/610</f>
        <v>2.0327868852459016E-2</v>
      </c>
      <c r="I87" s="34">
        <f t="shared" si="77"/>
        <v>3147.8</v>
      </c>
      <c r="J87" s="32">
        <f t="shared" ref="J87:J93" si="79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78"/>
        <v>3415.7999999999997</v>
      </c>
      <c r="O87" s="32">
        <f t="shared" ref="O87:O93" si="80">+N87/F87</f>
        <v>5.5996721311475408</v>
      </c>
      <c r="P87" s="30">
        <f t="shared" ref="P87:P93" si="81">+N87-I87</f>
        <v>267.99999999999955</v>
      </c>
      <c r="Q87" s="7">
        <f t="shared" ref="Q87:Q93" si="82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7">
        <f>(14.26)/781</f>
        <v>1.8258642765685017E-2</v>
      </c>
      <c r="I88" s="34">
        <f t="shared" si="77"/>
        <v>6629.3300000000008</v>
      </c>
      <c r="J88" s="32">
        <f t="shared" si="79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78"/>
        <v>7102.5741755809668</v>
      </c>
      <c r="O88" s="32">
        <f t="shared" si="80"/>
        <v>9.0942050903725562</v>
      </c>
      <c r="P88" s="30">
        <f t="shared" si="81"/>
        <v>473.24417558096593</v>
      </c>
      <c r="Q88" s="7">
        <f t="shared" si="82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8">
        <f>14.26/1550</f>
        <v>9.1999999999999998E-3</v>
      </c>
      <c r="I89" s="34">
        <f t="shared" si="77"/>
        <v>12057.759999999998</v>
      </c>
      <c r="J89" s="32">
        <f t="shared" si="79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78"/>
        <v>14096.017890077463</v>
      </c>
      <c r="O89" s="32">
        <f t="shared" si="80"/>
        <v>9.0942050903725562</v>
      </c>
      <c r="P89" s="30">
        <f t="shared" si="81"/>
        <v>2038.2578900774643</v>
      </c>
      <c r="Q89" s="7">
        <f t="shared" si="82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8">
        <f>+(7+3.97+0.24)/380</f>
        <v>2.9500000000000002E-2</v>
      </c>
      <c r="I90" s="34">
        <f t="shared" si="77"/>
        <v>2914.41</v>
      </c>
      <c r="J90" s="32">
        <f t="shared" si="79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78"/>
        <v>3455.7979343415714</v>
      </c>
      <c r="O90" s="32">
        <f t="shared" si="80"/>
        <v>9.0942050903725562</v>
      </c>
      <c r="P90" s="30">
        <f t="shared" si="81"/>
        <v>541.38793434157151</v>
      </c>
      <c r="Q90" s="7">
        <f t="shared" si="82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8">
        <f>14.26/1500</f>
        <v>9.5066666666666667E-3</v>
      </c>
      <c r="I91" s="34">
        <f t="shared" si="77"/>
        <v>12389.26</v>
      </c>
      <c r="J91" s="32">
        <f t="shared" si="79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83">+(L91-M91)*F91</f>
        <v>14227.273770491804</v>
      </c>
      <c r="O91" s="32">
        <f t="shared" si="80"/>
        <v>9.4848491803278687</v>
      </c>
      <c r="P91" s="30">
        <f t="shared" si="81"/>
        <v>1838.0137704918034</v>
      </c>
      <c r="Q91" s="7">
        <f t="shared" si="82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29">
        <f>14.26/1550</f>
        <v>9.1999999999999998E-3</v>
      </c>
      <c r="I92" s="35">
        <f t="shared" ref="I92:I99" si="84">+(G92+H92)*F92</f>
        <v>12445.259999999998</v>
      </c>
      <c r="J92" s="33">
        <f t="shared" si="79"/>
        <v>8.0291999999999994</v>
      </c>
      <c r="K92" s="270" t="s">
        <v>125</v>
      </c>
      <c r="L92" s="73">
        <v>9.49</v>
      </c>
      <c r="M92" s="84">
        <f>+(7+8.47+0.24)/3050</f>
        <v>5.1508196721311477E-3</v>
      </c>
      <c r="N92" s="35">
        <f t="shared" si="83"/>
        <v>14701.516229508197</v>
      </c>
      <c r="O92" s="33">
        <f t="shared" si="80"/>
        <v>9.4848491803278687</v>
      </c>
      <c r="P92" s="31">
        <f t="shared" si="81"/>
        <v>2256.2562295081989</v>
      </c>
      <c r="Q92" s="15">
        <f t="shared" si="82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84"/>
        <v>7750.71</v>
      </c>
      <c r="J93" s="64">
        <f t="shared" si="79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83"/>
        <v>9302.6800000000021</v>
      </c>
      <c r="O93" s="64">
        <f t="shared" si="80"/>
        <v>10.944329411764709</v>
      </c>
      <c r="P93" s="59">
        <f t="shared" si="81"/>
        <v>1551.9700000000021</v>
      </c>
      <c r="Q93" s="61">
        <f t="shared" si="82"/>
        <v>0.20023584936089753</v>
      </c>
      <c r="R93" s="605">
        <f>SUM(P93:P102)</f>
        <v>11952.33485714286</v>
      </c>
      <c r="S93" s="604">
        <v>2004</v>
      </c>
    </row>
    <row r="94" spans="1:19" hidden="1">
      <c r="A94" s="1" t="s">
        <v>132</v>
      </c>
      <c r="B94" s="52" t="s">
        <v>9</v>
      </c>
      <c r="C94" s="232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8">
        <f>+(7+8.47+0.24)/+F94</f>
        <v>1.8482352941176471E-2</v>
      </c>
      <c r="I94" s="30">
        <f t="shared" si="84"/>
        <v>7750.71</v>
      </c>
      <c r="J94" s="32">
        <f t="shared" ref="J94:J106" si="85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83"/>
        <v>9811.48</v>
      </c>
      <c r="O94" s="32">
        <f t="shared" ref="O94:O102" si="86">+N94/F94</f>
        <v>11.542917647058824</v>
      </c>
      <c r="P94" s="30">
        <f t="shared" ref="P94:P102" si="87">+N94-I94</f>
        <v>2060.7699999999995</v>
      </c>
      <c r="Q94" s="7">
        <f t="shared" ref="Q94:Q102" si="88">+P94/I94</f>
        <v>0.26588144828022203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8">
        <f>14.26/650</f>
        <v>2.1938461538461539E-2</v>
      </c>
      <c r="I95" s="30">
        <f t="shared" si="84"/>
        <v>6325.76</v>
      </c>
      <c r="J95" s="32">
        <f t="shared" si="85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83"/>
        <v>7499.48</v>
      </c>
      <c r="O95" s="32">
        <f t="shared" si="86"/>
        <v>11.537661538461538</v>
      </c>
      <c r="P95" s="30">
        <f t="shared" si="87"/>
        <v>1173.7199999999993</v>
      </c>
      <c r="Q95" s="7">
        <f t="shared" si="88"/>
        <v>0.18554608458114114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8">
        <f>14.26/670</f>
        <v>2.1283582089552239E-2</v>
      </c>
      <c r="I96" s="30">
        <f t="shared" si="84"/>
        <v>6352.46</v>
      </c>
      <c r="J96" s="32">
        <f t="shared" si="85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83"/>
        <v>8086.4682222222218</v>
      </c>
      <c r="O96" s="32">
        <f t="shared" si="86"/>
        <v>12.069355555555555</v>
      </c>
      <c r="P96" s="30">
        <f t="shared" si="87"/>
        <v>1734.0082222222218</v>
      </c>
      <c r="Q96" s="7">
        <f t="shared" si="88"/>
        <v>0.27296641336147281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8">
        <f>14.26/680</f>
        <v>2.0970588235294116E-2</v>
      </c>
      <c r="I97" s="30">
        <f t="shared" si="84"/>
        <v>6372.2599999999993</v>
      </c>
      <c r="J97" s="32">
        <f t="shared" si="85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83"/>
        <v>8207.1617777777774</v>
      </c>
      <c r="O97" s="32">
        <f t="shared" si="86"/>
        <v>12.069355555555555</v>
      </c>
      <c r="P97" s="30">
        <f t="shared" si="87"/>
        <v>1834.9017777777781</v>
      </c>
      <c r="Q97" s="7">
        <f t="shared" si="88"/>
        <v>0.28795149252820479</v>
      </c>
    </row>
    <row r="98" spans="1:19" hidden="1">
      <c r="B98" s="52" t="s">
        <v>9</v>
      </c>
      <c r="C98" s="232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8">
        <v>0</v>
      </c>
      <c r="I98" s="30">
        <f t="shared" si="84"/>
        <v>3202.66</v>
      </c>
      <c r="J98" s="32">
        <f t="shared" si="85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89">+(L98-M98)*F98</f>
        <v>2725.6909890109891</v>
      </c>
      <c r="O98" s="32">
        <f t="shared" si="86"/>
        <v>17.251208791208793</v>
      </c>
      <c r="P98" s="30">
        <f t="shared" si="87"/>
        <v>-476.96901098901071</v>
      </c>
      <c r="Q98" s="7">
        <f t="shared" si="88"/>
        <v>-0.14892901868728206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8">
        <v>0</v>
      </c>
      <c r="I99" s="30">
        <f t="shared" si="84"/>
        <v>6020.19</v>
      </c>
      <c r="J99" s="32">
        <f t="shared" si="85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89"/>
        <v>5123.609010989011</v>
      </c>
      <c r="O99" s="32">
        <f t="shared" si="86"/>
        <v>17.251208791208793</v>
      </c>
      <c r="P99" s="30">
        <f t="shared" si="87"/>
        <v>-896.58098901098856</v>
      </c>
      <c r="Q99" s="7">
        <f t="shared" si="88"/>
        <v>-0.14892901868728206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8">
        <f>14.26/690</f>
        <v>2.0666666666666667E-2</v>
      </c>
      <c r="I100" s="30">
        <f t="shared" ref="I100:I107" si="90">+(G100+H100)*F100</f>
        <v>6376.06</v>
      </c>
      <c r="J100" s="32">
        <f t="shared" si="85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89"/>
        <v>9008.7227999999996</v>
      </c>
      <c r="O100" s="32">
        <f t="shared" si="86"/>
        <v>13.05612</v>
      </c>
      <c r="P100" s="30">
        <f t="shared" si="87"/>
        <v>2632.6627999999992</v>
      </c>
      <c r="Q100" s="7">
        <f t="shared" si="88"/>
        <v>0.41289805930308043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8">
        <f>14.26/700</f>
        <v>2.0371428571428572E-2</v>
      </c>
      <c r="I101" s="30">
        <f t="shared" si="90"/>
        <v>2808.7151428571424</v>
      </c>
      <c r="J101" s="32">
        <f t="shared" si="85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89"/>
        <v>4047.3971999999999</v>
      </c>
      <c r="O101" s="32">
        <f t="shared" si="86"/>
        <v>13.05612</v>
      </c>
      <c r="P101" s="30">
        <f t="shared" si="87"/>
        <v>1238.6820571428575</v>
      </c>
      <c r="Q101" s="7">
        <f t="shared" si="88"/>
        <v>0.44101377111628998</v>
      </c>
    </row>
    <row r="102" spans="1:19" hidden="1">
      <c r="B102" s="69" t="s">
        <v>9</v>
      </c>
      <c r="C102" s="231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29">
        <f>(7.02+7+0.24)/+F102</f>
        <v>7.1300000000000002E-2</v>
      </c>
      <c r="I102" s="31">
        <f t="shared" si="90"/>
        <v>3234.26</v>
      </c>
      <c r="J102" s="33">
        <f t="shared" si="85"/>
        <v>16.171300000000002</v>
      </c>
      <c r="K102" s="270">
        <v>38351</v>
      </c>
      <c r="L102" s="73">
        <v>21.73</v>
      </c>
      <c r="M102" s="84">
        <f>12.57/200</f>
        <v>6.2850000000000003E-2</v>
      </c>
      <c r="N102" s="35">
        <f t="shared" si="89"/>
        <v>4333.43</v>
      </c>
      <c r="O102" s="33">
        <f t="shared" si="86"/>
        <v>21.667150000000003</v>
      </c>
      <c r="P102" s="31">
        <f t="shared" si="87"/>
        <v>1099.17</v>
      </c>
      <c r="Q102" s="15">
        <f t="shared" si="88"/>
        <v>0.33985208362964014</v>
      </c>
    </row>
    <row r="103" spans="1:19">
      <c r="B103" s="77" t="s">
        <v>9</v>
      </c>
      <c r="C103" s="78" t="s">
        <v>154</v>
      </c>
      <c r="D103" s="78" t="s">
        <v>11</v>
      </c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90"/>
        <v>2831.7600000000007</v>
      </c>
      <c r="J103" s="64">
        <f t="shared" si="85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89"/>
        <v>4100.2400000000007</v>
      </c>
      <c r="O103" s="64">
        <f t="shared" ref="O103:O110" si="91">+N103/F103</f>
        <v>23.429942857142862</v>
      </c>
      <c r="P103" s="59">
        <f t="shared" ref="P103:P110" si="92">+N103-I103</f>
        <v>1268.48</v>
      </c>
      <c r="Q103" s="61">
        <f t="shared" ref="Q103:Q110" si="93">+P103/I103</f>
        <v>0.44794756617792458</v>
      </c>
      <c r="R103" s="605">
        <f>SUM(P103:P107)</f>
        <v>11674.243142857147</v>
      </c>
      <c r="S103" s="604">
        <v>2005</v>
      </c>
    </row>
    <row r="104" spans="1:19" hidden="1">
      <c r="A104" s="1" t="s">
        <v>132</v>
      </c>
      <c r="B104" s="52" t="s">
        <v>9</v>
      </c>
      <c r="C104" s="232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8">
        <f>14.26/700</f>
        <v>2.0371428571428572E-2</v>
      </c>
      <c r="I104" s="30">
        <f t="shared" si="90"/>
        <v>3533.5448571428565</v>
      </c>
      <c r="J104" s="32">
        <f t="shared" si="85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94">+(L104-M104)*F104</f>
        <v>5509.92</v>
      </c>
      <c r="O104" s="32">
        <f t="shared" si="91"/>
        <v>14.128</v>
      </c>
      <c r="P104" s="30">
        <f t="shared" si="92"/>
        <v>1976.3751428571436</v>
      </c>
      <c r="Q104" s="7">
        <f t="shared" si="93"/>
        <v>0.55931797182707776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7">
        <f>(5.4+7)/200</f>
        <v>6.2E-2</v>
      </c>
      <c r="I105" s="30">
        <f t="shared" si="90"/>
        <v>3324.4</v>
      </c>
      <c r="J105" s="32">
        <f t="shared" si="85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94"/>
        <v>4470.588235294118</v>
      </c>
      <c r="O105" s="32">
        <f t="shared" si="91"/>
        <v>22.352941176470591</v>
      </c>
      <c r="P105" s="30">
        <f t="shared" si="92"/>
        <v>1146.1882352941179</v>
      </c>
      <c r="Q105" s="7">
        <f t="shared" si="93"/>
        <v>0.34478048228074776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7">
        <f>(7.02+7)/560</f>
        <v>2.5035714285714286E-2</v>
      </c>
      <c r="I106" s="30">
        <f t="shared" si="90"/>
        <v>6050.8200000000006</v>
      </c>
      <c r="J106" s="32">
        <f t="shared" si="85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94"/>
        <v>12517.647058823532</v>
      </c>
      <c r="O106" s="32">
        <f t="shared" si="91"/>
        <v>22.352941176470591</v>
      </c>
      <c r="P106" s="30">
        <f t="shared" si="92"/>
        <v>6466.8270588235309</v>
      </c>
      <c r="Q106" s="7">
        <f t="shared" si="93"/>
        <v>1.0687521788490701</v>
      </c>
    </row>
    <row r="107" spans="1:19" hidden="1">
      <c r="A107" s="1" t="s">
        <v>132</v>
      </c>
      <c r="B107" s="69" t="s">
        <v>9</v>
      </c>
      <c r="C107" s="231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29">
        <f>(7.24+5.4)/300</f>
        <v>4.2133333333333335E-2</v>
      </c>
      <c r="I107" s="31">
        <f t="shared" si="90"/>
        <v>1195.3920000000001</v>
      </c>
      <c r="J107" s="33">
        <f t="shared" ref="J107:J112" si="95">+I107/F107</f>
        <v>13.282133333333334</v>
      </c>
      <c r="K107" s="270">
        <v>38687</v>
      </c>
      <c r="L107" s="73">
        <v>22.37</v>
      </c>
      <c r="M107" s="84">
        <f>14.5/850</f>
        <v>1.7058823529411765E-2</v>
      </c>
      <c r="N107" s="35">
        <f t="shared" si="94"/>
        <v>2011.7647058823532</v>
      </c>
      <c r="O107" s="33">
        <f t="shared" si="91"/>
        <v>22.352941176470591</v>
      </c>
      <c r="P107" s="31">
        <f t="shared" si="92"/>
        <v>816.3727058823531</v>
      </c>
      <c r="Q107" s="15">
        <f t="shared" si="93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96">+(G108+H108)*F108</f>
        <v>6150.26</v>
      </c>
      <c r="J108" s="64">
        <f t="shared" si="95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94"/>
        <v>9809.044705882352</v>
      </c>
      <c r="O108" s="64">
        <f t="shared" si="91"/>
        <v>12.261305882352939</v>
      </c>
      <c r="P108" s="59">
        <f t="shared" si="92"/>
        <v>3658.7847058823518</v>
      </c>
      <c r="Q108" s="61">
        <f t="shared" si="93"/>
        <v>0.59489919221014265</v>
      </c>
      <c r="R108" s="605">
        <f>SUM(P108:P118)</f>
        <v>45193.763251754383</v>
      </c>
      <c r="S108" s="604">
        <v>2006</v>
      </c>
    </row>
    <row r="109" spans="1:19" hidden="1">
      <c r="A109" s="1" t="s">
        <v>132</v>
      </c>
      <c r="B109" s="52" t="s">
        <v>9</v>
      </c>
      <c r="C109" s="232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8">
        <f>14.26/860</f>
        <v>1.6581395348837208E-2</v>
      </c>
      <c r="I109" s="30">
        <f t="shared" si="96"/>
        <v>6283.6600000000008</v>
      </c>
      <c r="J109" s="32">
        <f t="shared" si="95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94"/>
        <v>10544.723058823529</v>
      </c>
      <c r="O109" s="32">
        <f t="shared" si="91"/>
        <v>12.261305882352941</v>
      </c>
      <c r="P109" s="30">
        <f t="shared" si="92"/>
        <v>4261.0630588235281</v>
      </c>
      <c r="Q109" s="7">
        <f t="shared" si="93"/>
        <v>0.67811801701930519</v>
      </c>
    </row>
    <row r="110" spans="1:19" hidden="1">
      <c r="A110" s="1" t="s">
        <v>179</v>
      </c>
      <c r="B110" s="52" t="s">
        <v>9</v>
      </c>
      <c r="C110" s="232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8">
        <f>+(5.59+7+0.27)/750</f>
        <v>1.7146666666666664E-2</v>
      </c>
      <c r="I110" s="30">
        <f t="shared" si="96"/>
        <v>335.88586666666674</v>
      </c>
      <c r="J110" s="32">
        <f t="shared" si="95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94"/>
        <v>490.45223529411766</v>
      </c>
      <c r="O110" s="32">
        <f t="shared" si="91"/>
        <v>12.261305882352941</v>
      </c>
      <c r="P110" s="30">
        <f t="shared" si="92"/>
        <v>154.56636862745091</v>
      </c>
      <c r="Q110" s="7">
        <f t="shared" si="93"/>
        <v>0.46017526775201478</v>
      </c>
    </row>
    <row r="111" spans="1:19" hidden="1">
      <c r="A111" s="1" t="s">
        <v>132</v>
      </c>
      <c r="B111" s="52" t="s">
        <v>9</v>
      </c>
      <c r="C111" s="232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8">
        <f>(7.24+5.4)/300</f>
        <v>4.2133333333333335E-2</v>
      </c>
      <c r="I111" s="30">
        <f t="shared" si="96"/>
        <v>2789.248</v>
      </c>
      <c r="J111" s="32">
        <f t="shared" si="95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97">+(L111-M111)*F111</f>
        <v>5599.9825000000001</v>
      </c>
      <c r="O111" s="32">
        <f t="shared" ref="O111:O118" si="98">+N111/F111</f>
        <v>26.666583333333335</v>
      </c>
      <c r="P111" s="30">
        <f t="shared" ref="P111:P118" si="99">+N111-I111</f>
        <v>2810.7345</v>
      </c>
      <c r="Q111" s="7">
        <f t="shared" ref="Q111:Q118" si="100">+P111/I111</f>
        <v>1.0077033307902346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8">
        <f>(7.02)/610</f>
        <v>1.1508196721311474E-2</v>
      </c>
      <c r="I112" s="30">
        <f t="shared" si="96"/>
        <v>5171.9881967213114</v>
      </c>
      <c r="J112" s="32">
        <f t="shared" si="95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97"/>
        <v>10399.967500000001</v>
      </c>
      <c r="O112" s="32">
        <f t="shared" si="98"/>
        <v>26.666583333333335</v>
      </c>
      <c r="P112" s="30">
        <f t="shared" si="99"/>
        <v>5227.9793032786893</v>
      </c>
      <c r="Q112" s="7">
        <f t="shared" si="100"/>
        <v>1.0108258380390103</v>
      </c>
    </row>
    <row r="113" spans="1:19" hidden="1">
      <c r="A113" s="1" t="s">
        <v>132</v>
      </c>
      <c r="B113" s="52" t="s">
        <v>9</v>
      </c>
      <c r="C113" s="232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8">
        <f>+(7+5.58+0.27)/600</f>
        <v>2.1416666666666667E-2</v>
      </c>
      <c r="I113" s="30">
        <f t="shared" si="96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97"/>
        <v>10682.267441860466</v>
      </c>
      <c r="O113" s="32">
        <f t="shared" si="98"/>
        <v>17.803779069767444</v>
      </c>
      <c r="P113" s="30">
        <f t="shared" si="99"/>
        <v>4477.4174418604653</v>
      </c>
      <c r="Q113" s="7">
        <f t="shared" si="100"/>
        <v>0.72159962639877917</v>
      </c>
    </row>
    <row r="114" spans="1:19" hidden="1">
      <c r="A114" s="1" t="s">
        <v>199</v>
      </c>
      <c r="B114" s="52" t="s">
        <v>9</v>
      </c>
      <c r="C114" s="232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8">
        <f>13.01/760</f>
        <v>1.7118421052631578E-2</v>
      </c>
      <c r="I114" s="30">
        <f t="shared" si="96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97"/>
        <v>4628.9825581395353</v>
      </c>
      <c r="O114" s="32">
        <f t="shared" si="98"/>
        <v>17.803779069767444</v>
      </c>
      <c r="P114" s="30">
        <f t="shared" si="99"/>
        <v>1527.931768665851</v>
      </c>
      <c r="Q114" s="7">
        <f t="shared" si="100"/>
        <v>0.49271420315085335</v>
      </c>
    </row>
    <row r="115" spans="1:19" hidden="1">
      <c r="A115" s="1" t="s">
        <v>132</v>
      </c>
      <c r="B115" s="52" t="s">
        <v>9</v>
      </c>
      <c r="C115" s="232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8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97"/>
        <v>7465.2710000000006</v>
      </c>
      <c r="O115" s="32">
        <f t="shared" si="98"/>
        <v>33.933050000000001</v>
      </c>
      <c r="P115" s="30">
        <f t="shared" si="99"/>
        <v>4547.7391967213116</v>
      </c>
      <c r="Q115" s="7">
        <f t="shared" si="100"/>
        <v>1.558762510012955</v>
      </c>
    </row>
    <row r="116" spans="1:19" hidden="1">
      <c r="B116" s="52" t="s">
        <v>9</v>
      </c>
      <c r="C116" s="232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8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97"/>
        <v>15269.872500000001</v>
      </c>
      <c r="O116" s="32">
        <f t="shared" si="98"/>
        <v>33.933050000000001</v>
      </c>
      <c r="P116" s="30">
        <f t="shared" si="99"/>
        <v>8587.9525000000012</v>
      </c>
      <c r="Q116" s="7">
        <f t="shared" si="100"/>
        <v>1.2852522179253869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8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97"/>
        <v>11197.906500000001</v>
      </c>
      <c r="O117" s="32">
        <f t="shared" si="98"/>
        <v>33.933050000000001</v>
      </c>
      <c r="P117" s="30">
        <f t="shared" si="99"/>
        <v>6393.366500000001</v>
      </c>
      <c r="Q117" s="7">
        <f t="shared" si="100"/>
        <v>1.3306927406161675</v>
      </c>
    </row>
    <row r="118" spans="1:19" hidden="1">
      <c r="A118" s="1" t="s">
        <v>199</v>
      </c>
      <c r="B118" s="69" t="s">
        <v>9</v>
      </c>
      <c r="C118" s="231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29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0">
        <v>39002</v>
      </c>
      <c r="L118" s="73">
        <v>19.059999999999999</v>
      </c>
      <c r="M118" s="84">
        <f>13.08/499</f>
        <v>2.6212424849699399E-2</v>
      </c>
      <c r="N118" s="35">
        <f t="shared" si="97"/>
        <v>9497.8599999999988</v>
      </c>
      <c r="O118" s="33">
        <f t="shared" si="98"/>
        <v>19.033787575150299</v>
      </c>
      <c r="P118" s="31">
        <f t="shared" si="99"/>
        <v>3546.2279078947358</v>
      </c>
      <c r="Q118" s="15">
        <f t="shared" si="100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101">+(G119+H119)*F119</f>
        <v>0</v>
      </c>
      <c r="J119" s="64">
        <f t="shared" ref="J119:J126" si="102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605">
        <f>SUM(P119:P142)</f>
        <v>72374.506366438698</v>
      </c>
      <c r="S119" s="604">
        <v>2007</v>
      </c>
    </row>
    <row r="120" spans="1:19" hidden="1">
      <c r="B120" s="52" t="s">
        <v>9</v>
      </c>
      <c r="C120" s="232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8">
        <v>0</v>
      </c>
      <c r="I120" s="30">
        <f t="shared" si="101"/>
        <v>5433.75</v>
      </c>
      <c r="J120" s="32">
        <f t="shared" si="102"/>
        <v>14.49</v>
      </c>
      <c r="K120" s="131">
        <v>39192</v>
      </c>
      <c r="L120" s="56">
        <v>16.989999999999998</v>
      </c>
      <c r="M120" s="83">
        <f t="shared" ref="M120:M126" si="103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37351</v>
      </c>
      <c r="F121" s="55">
        <v>7</v>
      </c>
      <c r="G121" s="56"/>
      <c r="H121" s="228">
        <f>3.25/7</f>
        <v>0.4642857142857143</v>
      </c>
      <c r="I121" s="30">
        <f t="shared" si="101"/>
        <v>3.25</v>
      </c>
      <c r="J121" s="32">
        <f t="shared" si="102"/>
        <v>0.4642857142857143</v>
      </c>
      <c r="K121" s="131">
        <v>39192</v>
      </c>
      <c r="L121" s="56">
        <v>16.989999999999998</v>
      </c>
      <c r="M121" s="83">
        <f t="shared" si="103"/>
        <v>8.3750000000000005E-3</v>
      </c>
      <c r="N121" s="34">
        <f t="shared" ref="N121:N126" si="104">+(L121-M121)*F121</f>
        <v>118.87137499999999</v>
      </c>
      <c r="O121" s="32">
        <f t="shared" ref="O121:O126" si="105">+N121/F121</f>
        <v>16.981624999999998</v>
      </c>
      <c r="P121" s="30">
        <f t="shared" ref="P121:P126" si="106">+N121-I121</f>
        <v>115.62137499999999</v>
      </c>
      <c r="Q121" s="7">
        <f t="shared" ref="Q121:Q126" si="107">+P121/I121</f>
        <v>35.575807692307691</v>
      </c>
    </row>
    <row r="122" spans="1:19" hidden="1">
      <c r="B122" s="52" t="s">
        <v>9</v>
      </c>
      <c r="C122" s="232" t="s">
        <v>17</v>
      </c>
      <c r="D122" s="53" t="s">
        <v>11</v>
      </c>
      <c r="E122" s="76"/>
      <c r="F122" s="55">
        <v>10</v>
      </c>
      <c r="G122" s="56"/>
      <c r="H122" s="228">
        <v>0</v>
      </c>
      <c r="I122" s="30">
        <f t="shared" si="101"/>
        <v>0</v>
      </c>
      <c r="J122" s="32">
        <f t="shared" si="102"/>
        <v>0</v>
      </c>
      <c r="K122" s="131">
        <v>39192</v>
      </c>
      <c r="L122" s="56">
        <v>16.989999999999998</v>
      </c>
      <c r="M122" s="83">
        <f t="shared" si="103"/>
        <v>8.3750000000000005E-3</v>
      </c>
      <c r="N122" s="34">
        <f t="shared" si="104"/>
        <v>169.81624999999997</v>
      </c>
      <c r="O122" s="32">
        <f t="shared" si="105"/>
        <v>16.981624999999998</v>
      </c>
      <c r="P122" s="30">
        <f t="shared" si="106"/>
        <v>169.81624999999997</v>
      </c>
      <c r="Q122" s="7" t="e">
        <f t="shared" si="107"/>
        <v>#DIV/0!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12</v>
      </c>
      <c r="G123" s="56"/>
      <c r="H123" s="228"/>
      <c r="I123" s="30">
        <f t="shared" si="101"/>
        <v>0</v>
      </c>
      <c r="J123" s="32">
        <f t="shared" si="102"/>
        <v>0</v>
      </c>
      <c r="K123" s="131">
        <v>39192</v>
      </c>
      <c r="L123" s="56">
        <v>16.989999999999998</v>
      </c>
      <c r="M123" s="83">
        <f t="shared" si="103"/>
        <v>8.3750000000000005E-3</v>
      </c>
      <c r="N123" s="34">
        <f t="shared" si="104"/>
        <v>203.77949999999998</v>
      </c>
      <c r="O123" s="32">
        <f t="shared" si="105"/>
        <v>16.981624999999998</v>
      </c>
      <c r="P123" s="30">
        <f t="shared" si="106"/>
        <v>203.77949999999998</v>
      </c>
      <c r="Q123" s="7" t="e">
        <f t="shared" si="107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8">
        <f>(7.27+5.57)/F124</f>
        <v>2.5680000000000001E-2</v>
      </c>
      <c r="I124" s="30">
        <f t="shared" si="101"/>
        <v>6172.84</v>
      </c>
      <c r="J124" s="32">
        <f t="shared" si="102"/>
        <v>12.34568</v>
      </c>
      <c r="K124" s="131">
        <v>39192</v>
      </c>
      <c r="L124" s="56">
        <v>16.989999999999998</v>
      </c>
      <c r="M124" s="83">
        <f t="shared" si="103"/>
        <v>8.3750000000000005E-3</v>
      </c>
      <c r="N124" s="34">
        <f t="shared" si="104"/>
        <v>8490.8124999999982</v>
      </c>
      <c r="O124" s="32">
        <f t="shared" si="105"/>
        <v>16.981624999999998</v>
      </c>
      <c r="P124" s="30">
        <f t="shared" si="106"/>
        <v>2317.972499999998</v>
      </c>
      <c r="Q124" s="7">
        <f t="shared" si="107"/>
        <v>0.37551151495907847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8">
        <f>(7.27+5.71)/F125</f>
        <v>2.2188034188034188E-2</v>
      </c>
      <c r="I125" s="30">
        <f t="shared" si="101"/>
        <v>7056.3799999999992</v>
      </c>
      <c r="J125" s="32">
        <f t="shared" si="102"/>
        <v>12.062188034188033</v>
      </c>
      <c r="K125" s="131">
        <v>39192</v>
      </c>
      <c r="L125" s="56">
        <v>16.989999999999998</v>
      </c>
      <c r="M125" s="83">
        <f t="shared" si="103"/>
        <v>8.3750000000000005E-3</v>
      </c>
      <c r="N125" s="34">
        <f t="shared" si="104"/>
        <v>9934.2506249999988</v>
      </c>
      <c r="O125" s="32">
        <f t="shared" si="105"/>
        <v>16.981624999999998</v>
      </c>
      <c r="P125" s="30">
        <f t="shared" si="106"/>
        <v>2877.8706249999996</v>
      </c>
      <c r="Q125" s="7">
        <f t="shared" si="107"/>
        <v>0.40783951898848986</v>
      </c>
    </row>
    <row r="126" spans="1:19" hidden="1">
      <c r="A126" s="1" t="s">
        <v>192</v>
      </c>
      <c r="B126" s="52" t="s">
        <v>9</v>
      </c>
      <c r="C126" s="232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8">
        <v>1.1854545454545454E-2</v>
      </c>
      <c r="I126" s="30">
        <f>9253.04/880*F126</f>
        <v>5267.9239090909095</v>
      </c>
      <c r="J126" s="32">
        <f t="shared" si="102"/>
        <v>10.514818181818182</v>
      </c>
      <c r="K126" s="131">
        <v>39192</v>
      </c>
      <c r="L126" s="56">
        <v>16.989999999999998</v>
      </c>
      <c r="M126" s="83">
        <f t="shared" si="103"/>
        <v>8.3750000000000005E-3</v>
      </c>
      <c r="N126" s="34">
        <f t="shared" si="104"/>
        <v>8507.7941249999985</v>
      </c>
      <c r="O126" s="32">
        <f t="shared" si="105"/>
        <v>16.981624999999998</v>
      </c>
      <c r="P126" s="30">
        <f t="shared" si="106"/>
        <v>3239.870215909089</v>
      </c>
      <c r="Q126" s="7">
        <f t="shared" si="107"/>
        <v>0.6150184155693692</v>
      </c>
    </row>
    <row r="127" spans="1:19" hidden="1">
      <c r="B127" s="52" t="s">
        <v>9</v>
      </c>
      <c r="C127" s="232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8">
        <f>(16.2)/1300</f>
        <v>1.2461538461538461E-2</v>
      </c>
      <c r="I127" s="30">
        <f>+(G127+H127)*F127</f>
        <v>16346.723076923075</v>
      </c>
      <c r="J127" s="32">
        <f t="shared" ref="J127:J147" si="108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109">+(L127-M127)*F127</f>
        <v>18087.64</v>
      </c>
      <c r="O127" s="32">
        <f t="shared" ref="O127:O134" si="110">+N127/F127</f>
        <v>25.839485714285715</v>
      </c>
      <c r="P127" s="30">
        <f t="shared" ref="P127:P134" si="111">+N127-I127</f>
        <v>1740.9169230769239</v>
      </c>
      <c r="Q127" s="7">
        <f t="shared" ref="Q127:Q134" si="112">+P127/I127</f>
        <v>0.10649944425464719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8">
        <f>(16.2)/1300</f>
        <v>1.2461538461538461E-2</v>
      </c>
      <c r="I128" s="30">
        <f>+(G128+H128)*F128</f>
        <v>14011.476923076922</v>
      </c>
      <c r="J128" s="32">
        <f t="shared" si="108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109"/>
        <v>16161.92</v>
      </c>
      <c r="O128" s="32">
        <f t="shared" si="110"/>
        <v>26.936533333333333</v>
      </c>
      <c r="P128" s="30">
        <f t="shared" si="111"/>
        <v>2150.4430769230785</v>
      </c>
      <c r="Q128" s="7">
        <f t="shared" si="112"/>
        <v>0.15347725930171544</v>
      </c>
      <c r="S128" s="602"/>
    </row>
    <row r="129" spans="1:19" hidden="1">
      <c r="A129" s="1" t="s">
        <v>179</v>
      </c>
      <c r="B129" s="52" t="s">
        <v>9</v>
      </c>
      <c r="C129" s="232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8">
        <f>+(5.59+7+0.27)/750</f>
        <v>1.7146666666666664E-2</v>
      </c>
      <c r="I129" s="30">
        <f>+(G129+H129)*F129</f>
        <v>5961.9741333333341</v>
      </c>
      <c r="J129" s="32">
        <f t="shared" si="108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109"/>
        <v>10322.586230769231</v>
      </c>
      <c r="O129" s="32">
        <f t="shared" si="110"/>
        <v>14.538853846153847</v>
      </c>
      <c r="P129" s="30">
        <f t="shared" si="111"/>
        <v>4360.6120974358973</v>
      </c>
      <c r="Q129" s="7">
        <f t="shared" si="112"/>
        <v>0.73140406179486106</v>
      </c>
      <c r="S129" s="602"/>
    </row>
    <row r="130" spans="1:19" hidden="1">
      <c r="B130" s="52" t="s">
        <v>9</v>
      </c>
      <c r="C130" s="232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3">
        <v>8.6125000000000004E-3</v>
      </c>
      <c r="I130" s="30">
        <f>+(G130+H130)*F130</f>
        <v>4589.3813749999999</v>
      </c>
      <c r="J130" s="32">
        <f t="shared" si="108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109"/>
        <v>8577.9237692307706</v>
      </c>
      <c r="O130" s="32">
        <f t="shared" si="110"/>
        <v>14.538853846153849</v>
      </c>
      <c r="P130" s="30">
        <f t="shared" si="111"/>
        <v>3988.5423942307707</v>
      </c>
      <c r="Q130" s="7">
        <f t="shared" si="112"/>
        <v>0.86908061638934309</v>
      </c>
      <c r="S130" s="602"/>
    </row>
    <row r="131" spans="1:19" hidden="1">
      <c r="A131" s="1" t="s">
        <v>192</v>
      </c>
      <c r="B131" s="52" t="s">
        <v>9</v>
      </c>
      <c r="C131" s="232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8">
        <v>1.1854545454545454E-2</v>
      </c>
      <c r="I131" s="30">
        <f>9253.04/880*F131</f>
        <v>3985.1160909090918</v>
      </c>
      <c r="J131" s="32">
        <f t="shared" si="108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109"/>
        <v>6890.775235000001</v>
      </c>
      <c r="O131" s="32">
        <f t="shared" si="110"/>
        <v>18.181465000000003</v>
      </c>
      <c r="P131" s="30">
        <f t="shared" si="111"/>
        <v>2905.6591440909092</v>
      </c>
      <c r="Q131" s="7">
        <f t="shared" si="112"/>
        <v>0.72912785419710702</v>
      </c>
      <c r="S131" s="602"/>
    </row>
    <row r="132" spans="1:19" hidden="1">
      <c r="B132" s="52" t="s">
        <v>9</v>
      </c>
      <c r="C132" s="232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8">
        <v>0</v>
      </c>
      <c r="I132" s="30">
        <v>0</v>
      </c>
      <c r="J132" s="32">
        <f t="shared" si="108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109"/>
        <v>1072.7064350000001</v>
      </c>
      <c r="O132" s="32">
        <f t="shared" si="110"/>
        <v>18.181464999999999</v>
      </c>
      <c r="P132" s="30">
        <f t="shared" si="111"/>
        <v>1072.7064350000001</v>
      </c>
      <c r="Q132" s="7" t="e">
        <f t="shared" si="112"/>
        <v>#DIV/0!</v>
      </c>
      <c r="S132" s="602"/>
    </row>
    <row r="133" spans="1:19" hidden="1">
      <c r="B133" s="52" t="s">
        <v>9</v>
      </c>
      <c r="C133" s="232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8">
        <f>(13.06)/F133</f>
        <v>1.7413333333333333E-2</v>
      </c>
      <c r="I133" s="30">
        <f>+(G133+H133)*F133</f>
        <v>9410.56</v>
      </c>
      <c r="J133" s="32">
        <f t="shared" si="108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109"/>
        <v>13636.098750000003</v>
      </c>
      <c r="O133" s="32">
        <f t="shared" si="110"/>
        <v>18.181465000000003</v>
      </c>
      <c r="P133" s="30">
        <f t="shared" si="111"/>
        <v>4225.5387500000033</v>
      </c>
      <c r="Q133" s="7">
        <f t="shared" si="112"/>
        <v>0.44902096687125992</v>
      </c>
      <c r="S133" s="602"/>
    </row>
    <row r="134" spans="1:19" hidden="1">
      <c r="B134" s="52" t="s">
        <v>9</v>
      </c>
      <c r="C134" s="232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8">
        <v>1.1899999999999999E-2</v>
      </c>
      <c r="I134" s="30">
        <f>9561.09/880*F134</f>
        <v>8822.2785000000003</v>
      </c>
      <c r="J134" s="32">
        <f t="shared" si="108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109"/>
        <v>14763.349580000002</v>
      </c>
      <c r="O134" s="32">
        <f t="shared" si="110"/>
        <v>18.181465000000003</v>
      </c>
      <c r="P134" s="30">
        <f t="shared" si="111"/>
        <v>5941.0710800000015</v>
      </c>
      <c r="Q134" s="7">
        <f t="shared" si="112"/>
        <v>0.67341685937482043</v>
      </c>
      <c r="S134" s="602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8">
        <v>1.1899999999999999E-2</v>
      </c>
      <c r="I135" s="30">
        <f>9561.09/880*F135</f>
        <v>738.81150000000002</v>
      </c>
      <c r="J135" s="32">
        <f t="shared" si="108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113">+(L135-M135)*F135</f>
        <v>1293.7339999999999</v>
      </c>
      <c r="O135" s="32">
        <f t="shared" ref="O135:O141" si="114">+N135/F135</f>
        <v>19.025499999999997</v>
      </c>
      <c r="P135" s="30">
        <f t="shared" ref="P135:P141" si="115">+N135-I135</f>
        <v>554.9224999999999</v>
      </c>
      <c r="Q135" s="7">
        <f t="shared" ref="Q135:Q141" si="116">+P135/I135</f>
        <v>0.75110160034054674</v>
      </c>
      <c r="S135" s="602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8">
        <f>(13.31)/F136</f>
        <v>1.478888888888889E-2</v>
      </c>
      <c r="I136" s="30">
        <f t="shared" ref="I136:I146" si="117">+(G136+H136)*F136</f>
        <v>11137.31</v>
      </c>
      <c r="J136" s="32">
        <f t="shared" si="108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113"/>
        <v>17122.949999999997</v>
      </c>
      <c r="O136" s="32">
        <f t="shared" si="114"/>
        <v>19.025499999999997</v>
      </c>
      <c r="P136" s="30">
        <f t="shared" si="115"/>
        <v>5985.6399999999976</v>
      </c>
      <c r="Q136" s="7">
        <f t="shared" si="116"/>
        <v>0.53744036935310213</v>
      </c>
      <c r="S136" s="602"/>
    </row>
    <row r="137" spans="1:19" hidden="1">
      <c r="B137" s="52" t="s">
        <v>9</v>
      </c>
      <c r="C137" s="232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8">
        <f>(14.16)/1400</f>
        <v>1.0114285714285715E-2</v>
      </c>
      <c r="I137" s="30">
        <f t="shared" si="117"/>
        <v>382.72365714285712</v>
      </c>
      <c r="J137" s="32">
        <f t="shared" si="108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113"/>
        <v>608.81599999999992</v>
      </c>
      <c r="O137" s="32">
        <f t="shared" si="114"/>
        <v>19.025499999999997</v>
      </c>
      <c r="P137" s="30">
        <f t="shared" si="115"/>
        <v>226.0923428571428</v>
      </c>
      <c r="Q137" s="7">
        <f t="shared" si="116"/>
        <v>0.59074566893770708</v>
      </c>
      <c r="S137" s="602"/>
    </row>
    <row r="138" spans="1:19" hidden="1">
      <c r="B138" s="52" t="s">
        <v>9</v>
      </c>
      <c r="C138" s="232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8">
        <f>(7.27+5.67)/470</f>
        <v>2.7531914893617022E-2</v>
      </c>
      <c r="I138" s="82">
        <f t="shared" si="117"/>
        <v>2036.6544680851064</v>
      </c>
      <c r="J138" s="32">
        <f t="shared" si="108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113"/>
        <v>5600.996231884058</v>
      </c>
      <c r="O138" s="32">
        <f t="shared" si="114"/>
        <v>40.007115942028989</v>
      </c>
      <c r="P138" s="30">
        <f t="shared" si="115"/>
        <v>3564.3417637989514</v>
      </c>
      <c r="Q138" s="7">
        <f t="shared" si="116"/>
        <v>1.7500964545793574</v>
      </c>
      <c r="S138" s="602"/>
    </row>
    <row r="139" spans="1:19" hidden="1">
      <c r="A139" s="1" t="s">
        <v>199</v>
      </c>
      <c r="B139" s="52" t="s">
        <v>9</v>
      </c>
      <c r="C139" s="232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8">
        <f>13.03/F139</f>
        <v>2.3690909090909089E-2</v>
      </c>
      <c r="I139" s="30">
        <f t="shared" si="117"/>
        <v>9181.5300000000007</v>
      </c>
      <c r="J139" s="32">
        <f t="shared" si="108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113"/>
        <v>22003.913768115945</v>
      </c>
      <c r="O139" s="32">
        <f t="shared" si="114"/>
        <v>40.007115942028989</v>
      </c>
      <c r="P139" s="30">
        <f t="shared" si="115"/>
        <v>12822.383768115944</v>
      </c>
      <c r="Q139" s="7">
        <f t="shared" si="116"/>
        <v>1.3965410741037652</v>
      </c>
      <c r="S139" s="602"/>
    </row>
    <row r="140" spans="1:19" hidden="1">
      <c r="B140" s="52" t="s">
        <v>9</v>
      </c>
      <c r="C140" s="232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8">
        <f>12.26/250</f>
        <v>4.904E-2</v>
      </c>
      <c r="I140" s="30">
        <f t="shared" si="117"/>
        <v>4072.26</v>
      </c>
      <c r="J140" s="32">
        <f t="shared" si="108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113"/>
        <v>4323.9375</v>
      </c>
      <c r="O140" s="32">
        <f t="shared" si="114"/>
        <v>17.295750000000002</v>
      </c>
      <c r="P140" s="30">
        <f t="shared" si="115"/>
        <v>251.67749999999978</v>
      </c>
      <c r="Q140" s="7">
        <f t="shared" si="116"/>
        <v>6.1802905511926978E-2</v>
      </c>
      <c r="S140" s="602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8">
        <f>14.08/1000</f>
        <v>1.4080000000000001E-2</v>
      </c>
      <c r="I141" s="30">
        <f t="shared" si="117"/>
        <v>12138.060000000001</v>
      </c>
      <c r="J141" s="32">
        <f t="shared" si="108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113"/>
        <v>12971.812499999998</v>
      </c>
      <c r="O141" s="32">
        <f t="shared" si="114"/>
        <v>17.295749999999998</v>
      </c>
      <c r="P141" s="30">
        <f t="shared" si="115"/>
        <v>833.75249999999687</v>
      </c>
      <c r="Q141" s="7">
        <f t="shared" si="116"/>
        <v>6.8689106825966975E-2</v>
      </c>
      <c r="S141" s="602"/>
    </row>
    <row r="142" spans="1:19" hidden="1">
      <c r="B142" s="69" t="s">
        <v>9</v>
      </c>
      <c r="C142" s="231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29">
        <f>(14.16)/F142</f>
        <v>1.0350877192982456E-2</v>
      </c>
      <c r="I142" s="31">
        <f t="shared" si="117"/>
        <v>16361.759999999998</v>
      </c>
      <c r="J142" s="33">
        <f t="shared" si="108"/>
        <v>11.960350877192981</v>
      </c>
      <c r="K142" s="270">
        <v>39366</v>
      </c>
      <c r="L142" s="73">
        <v>20.54</v>
      </c>
      <c r="M142" s="84">
        <f>15.86/1368</f>
        <v>1.1593567251461987E-2</v>
      </c>
      <c r="N142" s="35">
        <f t="shared" ref="N142:N149" si="118">+(L142-M142)*F142</f>
        <v>28082.859999999997</v>
      </c>
      <c r="O142" s="33">
        <f t="shared" ref="O142:O149" si="119">+N142/F142</f>
        <v>20.528406432748536</v>
      </c>
      <c r="P142" s="31">
        <f t="shared" ref="P142:P149" si="120">+N142-I142</f>
        <v>11721.099999999999</v>
      </c>
      <c r="Q142" s="15">
        <f t="shared" ref="Q142:Q149" si="121">+P142/I142</f>
        <v>0.71637158838657944</v>
      </c>
      <c r="S142" s="602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117"/>
        <v>11.927118421052631</v>
      </c>
      <c r="J143" s="64">
        <f t="shared" si="108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118"/>
        <v>14.47488888888889</v>
      </c>
      <c r="O143" s="64">
        <f t="shared" si="119"/>
        <v>14.47488888888889</v>
      </c>
      <c r="P143" s="59">
        <f t="shared" si="120"/>
        <v>2.5477704678362585</v>
      </c>
      <c r="Q143" s="61">
        <f t="shared" si="121"/>
        <v>0.21361156801622536</v>
      </c>
      <c r="R143" s="605">
        <f>SUM(P143:P153)</f>
        <v>9699.4842565789604</v>
      </c>
      <c r="S143" s="604">
        <v>2008</v>
      </c>
    </row>
    <row r="144" spans="1:19" hidden="1">
      <c r="B144" s="52" t="s">
        <v>9</v>
      </c>
      <c r="C144" s="232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8">
        <f>14.08/1000</f>
        <v>1.4080000000000001E-2</v>
      </c>
      <c r="I144" s="30">
        <f t="shared" si="117"/>
        <v>4046.0200000000004</v>
      </c>
      <c r="J144" s="32">
        <f t="shared" si="108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118"/>
        <v>3618.7222222222222</v>
      </c>
      <c r="O144" s="32">
        <f t="shared" si="119"/>
        <v>14.474888888888888</v>
      </c>
      <c r="P144" s="56">
        <f t="shared" si="120"/>
        <v>-427.29777777777826</v>
      </c>
      <c r="Q144" s="7">
        <f t="shared" si="121"/>
        <v>-0.10560940820306826</v>
      </c>
      <c r="R144" s="17"/>
      <c r="S144" s="232"/>
    </row>
    <row r="145" spans="2:19" hidden="1">
      <c r="B145" s="52" t="s">
        <v>9</v>
      </c>
      <c r="C145" s="232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8">
        <f>14.69/1300</f>
        <v>1.1299999999999999E-2</v>
      </c>
      <c r="I145" s="30">
        <f t="shared" si="117"/>
        <v>10118.753700000001</v>
      </c>
      <c r="J145" s="32">
        <f t="shared" si="108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118"/>
        <v>9394.202888888889</v>
      </c>
      <c r="O145" s="32">
        <f t="shared" si="119"/>
        <v>14.47488888888889</v>
      </c>
      <c r="P145" s="56">
        <f t="shared" si="120"/>
        <v>-724.55081111111213</v>
      </c>
      <c r="Q145" s="7">
        <f t="shared" si="121"/>
        <v>-7.1604748232098198E-2</v>
      </c>
      <c r="R145" s="17"/>
      <c r="S145" s="232"/>
    </row>
    <row r="146" spans="2:19" hidden="1">
      <c r="B146" s="52" t="s">
        <v>9</v>
      </c>
      <c r="C146" s="232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3">
        <v>8.6125000000000004E-3</v>
      </c>
      <c r="I146" s="30">
        <f t="shared" si="117"/>
        <v>7856.3986249999998</v>
      </c>
      <c r="J146" s="32">
        <f t="shared" si="108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118"/>
        <v>13328.45</v>
      </c>
      <c r="O146" s="32">
        <f t="shared" si="119"/>
        <v>13.196485148514853</v>
      </c>
      <c r="P146" s="56">
        <f t="shared" si="120"/>
        <v>5472.0513750000009</v>
      </c>
      <c r="Q146" s="7">
        <f t="shared" si="121"/>
        <v>0.69650887591004851</v>
      </c>
      <c r="R146" s="17"/>
      <c r="S146" s="232"/>
    </row>
    <row r="147" spans="2:19" hidden="1">
      <c r="B147" s="52" t="s">
        <v>9</v>
      </c>
      <c r="C147" s="232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3">
        <f>20/600</f>
        <v>3.3333333333333333E-2</v>
      </c>
      <c r="I147" s="30">
        <f t="shared" ref="I147:I153" si="122">+(G147+H147)*F147</f>
        <v>32282</v>
      </c>
      <c r="J147" s="32">
        <f t="shared" si="108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118"/>
        <v>24034.000000000004</v>
      </c>
      <c r="O147" s="32">
        <f t="shared" si="119"/>
        <v>40.056666666666672</v>
      </c>
      <c r="P147" s="56">
        <f t="shared" si="120"/>
        <v>-8247.9999999999964</v>
      </c>
      <c r="Q147" s="7">
        <f t="shared" si="121"/>
        <v>-0.25549842017223207</v>
      </c>
      <c r="R147" s="17"/>
      <c r="S147" s="232"/>
    </row>
    <row r="148" spans="2:19" hidden="1">
      <c r="B148" s="52" t="s">
        <v>9</v>
      </c>
      <c r="C148" s="232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3">
        <f>17.03/F148</f>
        <v>1.7329805637529257E-3</v>
      </c>
      <c r="I148" s="30">
        <f t="shared" si="122"/>
        <v>29203.22</v>
      </c>
      <c r="J148" s="32">
        <f t="shared" ref="J148:J153" si="123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118"/>
        <v>28194.429506</v>
      </c>
      <c r="O148" s="32">
        <f t="shared" si="119"/>
        <v>2.869078</v>
      </c>
      <c r="P148" s="56">
        <f t="shared" si="120"/>
        <v>-1008.7904940000008</v>
      </c>
      <c r="Q148" s="7">
        <f t="shared" si="121"/>
        <v>-3.454381037433546E-2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3">
        <f>2.61/F149</f>
        <v>1.5086705202312138E-2</v>
      </c>
      <c r="I149" s="30">
        <f t="shared" si="122"/>
        <v>518.15</v>
      </c>
      <c r="J149" s="32">
        <f t="shared" si="123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118"/>
        <v>496.35049400000003</v>
      </c>
      <c r="O149" s="32">
        <f t="shared" si="119"/>
        <v>2.869078</v>
      </c>
      <c r="P149" s="56">
        <f t="shared" si="120"/>
        <v>-21.799505999999951</v>
      </c>
      <c r="Q149" s="7">
        <f t="shared" si="121"/>
        <v>-4.2071805461738783E-2</v>
      </c>
      <c r="R149" s="17"/>
      <c r="S149" s="232"/>
    </row>
    <row r="150" spans="2:19" hidden="1">
      <c r="B150" s="52" t="s">
        <v>9</v>
      </c>
      <c r="C150" s="232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8">
        <f>14.69/1300</f>
        <v>1.1299999999999999E-2</v>
      </c>
      <c r="I150" s="30">
        <f t="shared" si="122"/>
        <v>10149.936299999999</v>
      </c>
      <c r="J150" s="32">
        <f t="shared" si="123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124">+(L150-M150)*F150</f>
        <v>6214.3102248333525</v>
      </c>
      <c r="O150" s="32">
        <f t="shared" ref="O150:O156" si="125">+N150/F150</f>
        <v>9.5457914359959339</v>
      </c>
      <c r="P150" s="56">
        <f t="shared" ref="P150:P156" si="126">+N150-I150</f>
        <v>-3935.6260751666468</v>
      </c>
      <c r="Q150" s="7">
        <f t="shared" ref="Q150:Q156" si="127">+P150/I150</f>
        <v>-0.38774884480473509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8">
        <f>34.3/8200</f>
        <v>4.1829268292682921E-3</v>
      </c>
      <c r="I151" s="30">
        <f t="shared" si="122"/>
        <v>60632.3</v>
      </c>
      <c r="J151" s="32">
        <f t="shared" si="123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124"/>
        <v>78275.489775166658</v>
      </c>
      <c r="O151" s="32">
        <f t="shared" si="125"/>
        <v>9.5457914359959339</v>
      </c>
      <c r="P151" s="56">
        <f t="shared" si="126"/>
        <v>17643.189775166655</v>
      </c>
      <c r="Q151" s="7">
        <f t="shared" si="127"/>
        <v>0.29098664862072943</v>
      </c>
      <c r="R151" s="17"/>
      <c r="S151" s="232"/>
    </row>
    <row r="152" spans="2:19" hidden="1">
      <c r="B152" s="52" t="s">
        <v>9</v>
      </c>
      <c r="C152" s="232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3">
        <f>12.48/480</f>
        <v>2.6000000000000002E-2</v>
      </c>
      <c r="I152" s="30">
        <f t="shared" si="122"/>
        <v>5546.8799999999992</v>
      </c>
      <c r="J152" s="32">
        <f t="shared" si="123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124"/>
        <v>4019.349677419355</v>
      </c>
      <c r="O152" s="32">
        <f t="shared" si="125"/>
        <v>8.3736451612903231</v>
      </c>
      <c r="P152" s="56">
        <f t="shared" si="126"/>
        <v>-1527.5303225806442</v>
      </c>
      <c r="Q152" s="7">
        <f t="shared" si="127"/>
        <v>-0.27538550006141188</v>
      </c>
      <c r="R152" s="17"/>
      <c r="S152" s="232"/>
    </row>
    <row r="153" spans="2:19" hidden="1">
      <c r="B153" s="69" t="s">
        <v>9</v>
      </c>
      <c r="C153" s="231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7">
        <f>12.48/480</f>
        <v>2.6000000000000002E-2</v>
      </c>
      <c r="I153" s="31">
        <f t="shared" si="122"/>
        <v>14272</v>
      </c>
      <c r="J153" s="33">
        <f t="shared" si="123"/>
        <v>7.1360000000000001</v>
      </c>
      <c r="K153" s="270">
        <v>39752</v>
      </c>
      <c r="L153" s="73">
        <v>8.3800000000000008</v>
      </c>
      <c r="M153" s="84">
        <f>15.76/2480</f>
        <v>6.3548387096774191E-3</v>
      </c>
      <c r="N153" s="35">
        <f t="shared" si="124"/>
        <v>16747.290322580648</v>
      </c>
      <c r="O153" s="33">
        <f t="shared" si="125"/>
        <v>8.3736451612903231</v>
      </c>
      <c r="P153" s="73">
        <f t="shared" si="126"/>
        <v>2475.2903225806476</v>
      </c>
      <c r="Q153" s="15">
        <f t="shared" si="127"/>
        <v>0.17343682192969784</v>
      </c>
      <c r="R153" s="17"/>
      <c r="S153" s="232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28">+(G154+H154)*F154</f>
        <v>7460.5474999999997</v>
      </c>
      <c r="J154" s="64">
        <f t="shared" ref="J154:J168" si="129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124"/>
        <v>11500.990000000002</v>
      </c>
      <c r="O154" s="64">
        <f t="shared" si="125"/>
        <v>3.2859971428571435</v>
      </c>
      <c r="P154" s="59">
        <f t="shared" si="126"/>
        <v>4040.4425000000019</v>
      </c>
      <c r="Q154" s="61">
        <f t="shared" si="127"/>
        <v>0.5415745292151819</v>
      </c>
      <c r="R154" s="605">
        <f>SUM(P154:P180)</f>
        <v>38832.481000000014</v>
      </c>
      <c r="S154" s="604">
        <v>2009</v>
      </c>
    </row>
    <row r="155" spans="2:19" hidden="1">
      <c r="B155" s="52" t="s">
        <v>9</v>
      </c>
      <c r="C155" s="232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8">
        <f>18.61/4500</f>
        <v>4.1355555555555555E-3</v>
      </c>
      <c r="I155" s="30">
        <f t="shared" si="128"/>
        <v>7168.2533333333322</v>
      </c>
      <c r="J155" s="32">
        <f t="shared" si="129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124"/>
        <v>9065.99</v>
      </c>
      <c r="O155" s="32">
        <f t="shared" si="125"/>
        <v>9.0659899999999993</v>
      </c>
      <c r="P155" s="591">
        <f t="shared" si="126"/>
        <v>1897.7366666666676</v>
      </c>
      <c r="Q155" s="7">
        <f t="shared" si="127"/>
        <v>0.26474185250149285</v>
      </c>
      <c r="R155" s="606"/>
      <c r="S155" s="232"/>
    </row>
    <row r="156" spans="2:19" hidden="1">
      <c r="B156" s="52" t="s">
        <v>9</v>
      </c>
      <c r="C156" s="232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8">
        <f>17.15/6000</f>
        <v>2.858333333333333E-3</v>
      </c>
      <c r="I156" s="30">
        <f t="shared" si="128"/>
        <v>7504.2874999999995</v>
      </c>
      <c r="J156" s="32">
        <f t="shared" si="129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124"/>
        <v>10620.75</v>
      </c>
      <c r="O156" s="32">
        <f t="shared" si="125"/>
        <v>7.0804999999999998</v>
      </c>
      <c r="P156" s="591">
        <f t="shared" si="126"/>
        <v>3116.4625000000005</v>
      </c>
      <c r="Q156" s="7">
        <f t="shared" si="127"/>
        <v>0.4152909253543392</v>
      </c>
      <c r="R156" s="606">
        <f>SUM(P154:P156)</f>
        <v>9054.6416666666701</v>
      </c>
      <c r="S156" s="232"/>
    </row>
    <row r="157" spans="2:19" hidden="1">
      <c r="B157" s="52" t="s">
        <v>9</v>
      </c>
      <c r="C157" s="232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8">
        <f>15.79/4000</f>
        <v>3.9474999999999996E-3</v>
      </c>
      <c r="I157" s="30">
        <f t="shared" si="128"/>
        <v>10447.894999999999</v>
      </c>
      <c r="J157" s="32">
        <f t="shared" si="129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30">+(L157-M157)*F157</f>
        <v>12245.51</v>
      </c>
      <c r="O157" s="32">
        <f t="shared" ref="O157:O162" si="131">+N157/F157</f>
        <v>6.1227549999999997</v>
      </c>
      <c r="P157" s="591">
        <f t="shared" ref="P157:P162" si="132">+N157-I157</f>
        <v>1797.6150000000016</v>
      </c>
      <c r="Q157" s="7">
        <f t="shared" ref="Q157:Q162" si="133">+P157/I157</f>
        <v>0.17205523217834806</v>
      </c>
      <c r="R157" s="606"/>
      <c r="S157" s="232"/>
    </row>
    <row r="158" spans="2:19" hidden="1">
      <c r="B158" s="52" t="s">
        <v>9</v>
      </c>
      <c r="C158" s="232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8">
        <f>18.61/4500</f>
        <v>4.1355555555555555E-3</v>
      </c>
      <c r="I158" s="30">
        <f t="shared" si="128"/>
        <v>14336.506666666664</v>
      </c>
      <c r="J158" s="32">
        <f t="shared" si="129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30"/>
        <v>15984.949999999999</v>
      </c>
      <c r="O158" s="32">
        <f t="shared" si="131"/>
        <v>7.9924749999999998</v>
      </c>
      <c r="P158" s="591">
        <f t="shared" si="132"/>
        <v>1648.4433333333345</v>
      </c>
      <c r="Q158" s="7">
        <f t="shared" si="133"/>
        <v>0.11498221789036484</v>
      </c>
      <c r="R158" s="606"/>
      <c r="S158" s="232"/>
    </row>
    <row r="159" spans="2:19" hidden="1">
      <c r="B159" s="52" t="s">
        <v>9</v>
      </c>
      <c r="C159" s="232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8">
        <f>17.15/6000</f>
        <v>2.858333333333333E-3</v>
      </c>
      <c r="I159" s="30">
        <f t="shared" si="128"/>
        <v>10005.716666666667</v>
      </c>
      <c r="J159" s="32">
        <f t="shared" si="129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30"/>
        <v>13045.390000000001</v>
      </c>
      <c r="O159" s="32">
        <f t="shared" si="131"/>
        <v>6.5226950000000006</v>
      </c>
      <c r="P159" s="591">
        <f t="shared" si="132"/>
        <v>3039.6733333333341</v>
      </c>
      <c r="Q159" s="7">
        <f t="shared" si="133"/>
        <v>0.30379366462172464</v>
      </c>
      <c r="R159" s="606"/>
      <c r="S159" s="232"/>
    </row>
    <row r="160" spans="2:19" hidden="1">
      <c r="B160" s="52" t="s">
        <v>9</v>
      </c>
      <c r="C160" s="232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8">
        <f>14.61/1000</f>
        <v>1.461E-2</v>
      </c>
      <c r="I160" s="30">
        <f t="shared" si="128"/>
        <v>13064.61</v>
      </c>
      <c r="J160" s="32">
        <f t="shared" si="129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30"/>
        <v>13446.481818181819</v>
      </c>
      <c r="O160" s="32">
        <f t="shared" si="131"/>
        <v>13.44648181818182</v>
      </c>
      <c r="P160" s="591">
        <f t="shared" si="132"/>
        <v>381.87181818181853</v>
      </c>
      <c r="Q160" s="7">
        <f t="shared" si="133"/>
        <v>2.9229484705767604E-2</v>
      </c>
      <c r="R160" s="606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8">
        <f>2.8/100</f>
        <v>2.7999999999999997E-2</v>
      </c>
      <c r="I161" s="30">
        <f t="shared" si="128"/>
        <v>1312.8</v>
      </c>
      <c r="J161" s="32">
        <f t="shared" si="129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30"/>
        <v>1344.6481818181819</v>
      </c>
      <c r="O161" s="32">
        <f t="shared" si="131"/>
        <v>13.44648181818182</v>
      </c>
      <c r="P161" s="591">
        <f t="shared" si="132"/>
        <v>31.848181818181956</v>
      </c>
      <c r="Q161" s="7">
        <f t="shared" si="133"/>
        <v>2.4259736302698016E-2</v>
      </c>
      <c r="R161" s="606"/>
      <c r="S161" s="232"/>
    </row>
    <row r="162" spans="2:19" hidden="1">
      <c r="B162" s="52" t="s">
        <v>9</v>
      </c>
      <c r="C162" s="232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8">
        <f>15.85/10000</f>
        <v>1.585E-3</v>
      </c>
      <c r="I162" s="30">
        <f t="shared" si="128"/>
        <v>7460.5474999999997</v>
      </c>
      <c r="J162" s="32">
        <f t="shared" si="129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30"/>
        <v>10485.77</v>
      </c>
      <c r="O162" s="32">
        <f t="shared" si="131"/>
        <v>2.9959342857142857</v>
      </c>
      <c r="P162" s="591">
        <f t="shared" si="132"/>
        <v>3025.2225000000008</v>
      </c>
      <c r="Q162" s="7">
        <f t="shared" si="133"/>
        <v>0.40549604435867487</v>
      </c>
      <c r="R162" s="606">
        <f>SUM(P157:P162)</f>
        <v>9924.6741666666712</v>
      </c>
      <c r="S162" s="232"/>
    </row>
    <row r="163" spans="2:19" hidden="1">
      <c r="B163" s="52" t="s">
        <v>9</v>
      </c>
      <c r="C163" s="232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8">
        <f>17.15/6000</f>
        <v>2.858333333333333E-3</v>
      </c>
      <c r="I163" s="30">
        <f t="shared" ref="I163:I170" si="134">+(G163+H163)*F163</f>
        <v>12507.145833333332</v>
      </c>
      <c r="J163" s="32">
        <f t="shared" si="129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35">+(L163-M163)*F163</f>
        <v>13810.28</v>
      </c>
      <c r="O163" s="32">
        <f t="shared" ref="O163:O169" si="136">+N163/F163</f>
        <v>5.5241120000000006</v>
      </c>
      <c r="P163" s="591">
        <f t="shared" ref="P163:P169" si="137">+N163-I163</f>
        <v>1303.1341666666685</v>
      </c>
      <c r="Q163" s="7">
        <f t="shared" ref="Q163:Q169" si="138">+P163/I163</f>
        <v>0.10419117071407528</v>
      </c>
      <c r="R163" s="606"/>
      <c r="S163" s="232"/>
    </row>
    <row r="164" spans="2:19" hidden="1">
      <c r="B164" s="52" t="s">
        <v>9</v>
      </c>
      <c r="C164" s="232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8">
        <f>15.79/4000</f>
        <v>3.9474999999999996E-3</v>
      </c>
      <c r="I164" s="30">
        <f t="shared" si="134"/>
        <v>10447.894999999999</v>
      </c>
      <c r="J164" s="32">
        <f t="shared" si="129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35"/>
        <v>12205.51</v>
      </c>
      <c r="O164" s="32">
        <f t="shared" si="136"/>
        <v>6.1027550000000002</v>
      </c>
      <c r="P164" s="591">
        <f t="shared" si="137"/>
        <v>1757.6150000000016</v>
      </c>
      <c r="Q164" s="7">
        <f t="shared" si="138"/>
        <v>0.16822670978220988</v>
      </c>
      <c r="R164" s="606">
        <f>+P163+P164</f>
        <v>3060.7491666666701</v>
      </c>
      <c r="S164" s="232"/>
    </row>
    <row r="165" spans="2:19" hidden="1">
      <c r="B165" s="52" t="s">
        <v>9</v>
      </c>
      <c r="C165" s="232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8">
        <f>18.61/4500</f>
        <v>4.1355555555555555E-3</v>
      </c>
      <c r="I165" s="30">
        <f t="shared" si="134"/>
        <v>10752.38</v>
      </c>
      <c r="J165" s="32">
        <f t="shared" si="129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35"/>
        <v>8361.1560000000009</v>
      </c>
      <c r="O165" s="32">
        <f t="shared" si="136"/>
        <v>5.5741040000000002</v>
      </c>
      <c r="P165" s="591">
        <f t="shared" si="137"/>
        <v>-2391.2239999999983</v>
      </c>
      <c r="Q165" s="7">
        <f t="shared" si="138"/>
        <v>-0.22239020570329532</v>
      </c>
      <c r="R165" s="606"/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8">
        <v>4.79E-3</v>
      </c>
      <c r="I166" s="30">
        <f t="shared" si="134"/>
        <v>6365.5925000000007</v>
      </c>
      <c r="J166" s="32">
        <f t="shared" si="129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35"/>
        <v>5565.5099999999993</v>
      </c>
      <c r="O166" s="32">
        <f t="shared" si="136"/>
        <v>5.5655099999999997</v>
      </c>
      <c r="P166" s="591">
        <f t="shared" si="137"/>
        <v>-800.08250000000135</v>
      </c>
      <c r="Q166" s="7">
        <f t="shared" si="138"/>
        <v>-0.12568861421776548</v>
      </c>
      <c r="R166" s="606"/>
      <c r="S166" s="232"/>
    </row>
    <row r="167" spans="2:19" hidden="1">
      <c r="B167" s="52" t="s">
        <v>9</v>
      </c>
      <c r="C167" s="232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8">
        <f>16.56/F167</f>
        <v>6.6239999999999997E-3</v>
      </c>
      <c r="I167" s="30">
        <f t="shared" si="134"/>
        <v>13066.56</v>
      </c>
      <c r="J167" s="32">
        <f t="shared" si="129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35"/>
        <v>11960.550000000001</v>
      </c>
      <c r="O167" s="32">
        <f t="shared" si="136"/>
        <v>4.7842200000000004</v>
      </c>
      <c r="P167" s="591">
        <f t="shared" si="137"/>
        <v>-1106.0099999999984</v>
      </c>
      <c r="Q167" s="7">
        <f t="shared" si="138"/>
        <v>-8.4644313422966605E-2</v>
      </c>
      <c r="R167" s="606"/>
      <c r="S167" s="232"/>
    </row>
    <row r="168" spans="2:19" hidden="1">
      <c r="B168" s="52" t="s">
        <v>9</v>
      </c>
      <c r="C168" s="232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8">
        <v>4.79E-3</v>
      </c>
      <c r="I168" s="30">
        <f t="shared" si="134"/>
        <v>19096.777500000004</v>
      </c>
      <c r="J168" s="32">
        <f t="shared" si="129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35"/>
        <v>14207.022857142856</v>
      </c>
      <c r="O168" s="32">
        <f t="shared" si="136"/>
        <v>4.7356742857142855</v>
      </c>
      <c r="P168" s="591">
        <f t="shared" si="137"/>
        <v>-4889.7546428571477</v>
      </c>
      <c r="Q168" s="7">
        <f t="shared" si="138"/>
        <v>-0.25605129676235411</v>
      </c>
      <c r="R168" s="606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8">
        <f>15.76/4000</f>
        <v>3.9399999999999999E-3</v>
      </c>
      <c r="I169" s="30">
        <f t="shared" si="134"/>
        <v>2591.9699999999998</v>
      </c>
      <c r="J169" s="32">
        <f t="shared" ref="J169:J175" si="139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35"/>
        <v>2367.8371428571427</v>
      </c>
      <c r="O169" s="32">
        <f t="shared" si="136"/>
        <v>4.7356742857142855</v>
      </c>
      <c r="P169" s="591">
        <f t="shared" si="137"/>
        <v>-224.13285714285712</v>
      </c>
      <c r="Q169" s="7">
        <f t="shared" si="138"/>
        <v>-8.6472010533631613E-2</v>
      </c>
      <c r="R169" s="606">
        <f>SUM(P165:P169)</f>
        <v>-9411.2040000000015</v>
      </c>
      <c r="S169" s="232"/>
    </row>
    <row r="170" spans="2:19" hidden="1">
      <c r="B170" s="52" t="s">
        <v>9</v>
      </c>
      <c r="C170" s="232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8">
        <v>3.3119999999999998E-3</v>
      </c>
      <c r="I170" s="30">
        <f t="shared" si="134"/>
        <v>13058.28</v>
      </c>
      <c r="J170" s="32">
        <f t="shared" si="139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40">+(L170-M170)*F170</f>
        <v>14935.11</v>
      </c>
      <c r="O170" s="32">
        <f t="shared" ref="O170:O175" si="141">+N170/F170</f>
        <v>5.9740440000000001</v>
      </c>
      <c r="P170" s="591">
        <f t="shared" ref="P170:P175" si="142">+N170-I170</f>
        <v>1876.83</v>
      </c>
      <c r="Q170" s="7">
        <f t="shared" ref="Q170:Q175" si="143">+P170/I170</f>
        <v>0.14372719837528372</v>
      </c>
      <c r="R170" s="606"/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8">
        <f>15.76/4000</f>
        <v>3.9399999999999999E-3</v>
      </c>
      <c r="I171" s="30">
        <f t="shared" ref="I171:I178" si="144">+(G171+H171)*F171</f>
        <v>12959.849999999999</v>
      </c>
      <c r="J171" s="32">
        <f t="shared" si="139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40"/>
        <v>17734.689999999999</v>
      </c>
      <c r="O171" s="32">
        <f t="shared" si="141"/>
        <v>7.0938759999999998</v>
      </c>
      <c r="P171" s="591">
        <f t="shared" si="142"/>
        <v>4774.84</v>
      </c>
      <c r="Q171" s="7">
        <f t="shared" si="143"/>
        <v>0.36843327661971403</v>
      </c>
      <c r="R171" s="606">
        <f>SUM(P170:P171)</f>
        <v>6651.67</v>
      </c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8">
        <f>15.76/4000</f>
        <v>3.9399999999999999E-3</v>
      </c>
      <c r="I172" s="30">
        <f t="shared" si="144"/>
        <v>5183.9399999999996</v>
      </c>
      <c r="J172" s="32">
        <f t="shared" si="139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40"/>
        <v>8756.2204724409439</v>
      </c>
      <c r="O172" s="32">
        <f t="shared" si="141"/>
        <v>8.756220472440944</v>
      </c>
      <c r="P172" s="591">
        <f t="shared" si="142"/>
        <v>3572.2804724409443</v>
      </c>
      <c r="Q172" s="7">
        <f t="shared" si="143"/>
        <v>0.68910528911232471</v>
      </c>
      <c r="R172" s="606"/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8">
        <v>0</v>
      </c>
      <c r="I173" s="30">
        <f t="shared" si="144"/>
        <v>0</v>
      </c>
      <c r="J173" s="32">
        <f t="shared" si="139"/>
        <v>0</v>
      </c>
      <c r="K173" s="131">
        <v>39944</v>
      </c>
      <c r="L173" s="56">
        <v>8.77</v>
      </c>
      <c r="M173" s="83">
        <v>1.3779527559055118E-2</v>
      </c>
      <c r="N173" s="34">
        <f t="shared" si="140"/>
        <v>140.0995275590551</v>
      </c>
      <c r="O173" s="32">
        <f t="shared" si="141"/>
        <v>8.756220472440944</v>
      </c>
      <c r="P173" s="591">
        <f t="shared" si="142"/>
        <v>140.0995275590551</v>
      </c>
      <c r="Q173" s="7" t="e">
        <f t="shared" si="143"/>
        <v>#DIV/0!</v>
      </c>
      <c r="R173" s="606"/>
      <c r="S173" s="232"/>
    </row>
    <row r="174" spans="2:19" hidden="1">
      <c r="B174" s="52" t="s">
        <v>9</v>
      </c>
      <c r="C174" s="232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8">
        <f>15.85/10000</f>
        <v>1.585E-3</v>
      </c>
      <c r="I174" s="30">
        <f t="shared" si="144"/>
        <v>6394.7549999999992</v>
      </c>
      <c r="J174" s="32">
        <f t="shared" si="139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40"/>
        <v>10005.85</v>
      </c>
      <c r="O174" s="32">
        <f t="shared" si="141"/>
        <v>3.3352833333333334</v>
      </c>
      <c r="P174" s="591">
        <f t="shared" si="142"/>
        <v>3611.0950000000012</v>
      </c>
      <c r="Q174" s="7">
        <f t="shared" si="143"/>
        <v>0.56469638008023793</v>
      </c>
      <c r="R174" s="606"/>
      <c r="S174" s="232"/>
    </row>
    <row r="175" spans="2:19" hidden="1">
      <c r="B175" s="52" t="s">
        <v>9</v>
      </c>
      <c r="C175" s="232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8">
        <v>0</v>
      </c>
      <c r="I175" s="30">
        <f t="shared" si="144"/>
        <v>0</v>
      </c>
      <c r="J175" s="32">
        <f t="shared" si="139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40"/>
        <v>816.31000000000006</v>
      </c>
      <c r="O175" s="32">
        <f t="shared" si="141"/>
        <v>4.0815500000000005E-2</v>
      </c>
      <c r="P175" s="591">
        <f t="shared" si="142"/>
        <v>816.31000000000006</v>
      </c>
      <c r="Q175" s="7" t="e">
        <f t="shared" si="143"/>
        <v>#DIV/0!</v>
      </c>
      <c r="R175" s="606">
        <f>SUM(P172:P175)</f>
        <v>8139.7850000000008</v>
      </c>
      <c r="S175" s="603" t="s">
        <v>593</v>
      </c>
    </row>
    <row r="176" spans="2:19" hidden="1">
      <c r="B176" s="52" t="s">
        <v>9</v>
      </c>
      <c r="C176" s="232" t="s">
        <v>454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8">
        <f>17.65/4000</f>
        <v>4.4124999999999998E-3</v>
      </c>
      <c r="I176" s="30">
        <f t="shared" si="144"/>
        <v>14923.65</v>
      </c>
      <c r="J176" s="32">
        <f t="shared" ref="J176:J184" si="145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46">+(L176-M176)*F176</f>
        <v>7946.1500000000005</v>
      </c>
      <c r="O176" s="32">
        <f t="shared" ref="O176:O184" si="147">+N176/F176</f>
        <v>1.9865375000000001</v>
      </c>
      <c r="P176" s="591">
        <f t="shared" ref="P176:P184" si="148">+N176-I176</f>
        <v>-6977.4999999999991</v>
      </c>
      <c r="Q176" s="7">
        <f t="shared" ref="Q176:Q184" si="149">+P176/I176</f>
        <v>-0.46754647824091289</v>
      </c>
      <c r="R176" s="606">
        <f>+P176</f>
        <v>-6977.4999999999991</v>
      </c>
      <c r="S176" s="232"/>
    </row>
    <row r="177" spans="2:19" hidden="1">
      <c r="B177" s="52" t="s">
        <v>9</v>
      </c>
      <c r="C177" s="232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8">
        <f>(14.05+2.97+5.8)/2000</f>
        <v>1.141E-2</v>
      </c>
      <c r="I177" s="30">
        <f t="shared" si="144"/>
        <v>18914.86</v>
      </c>
      <c r="J177" s="32">
        <f t="shared" si="145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46"/>
        <v>27142.115000000002</v>
      </c>
      <c r="O177" s="32">
        <f t="shared" si="147"/>
        <v>13.5710575</v>
      </c>
      <c r="P177" s="591">
        <f t="shared" si="148"/>
        <v>8227.255000000001</v>
      </c>
      <c r="Q177" s="7">
        <f t="shared" si="149"/>
        <v>0.43496251095699362</v>
      </c>
      <c r="R177" s="606">
        <f>SUM(P177:P177:P180)</f>
        <v>18389.665000000001</v>
      </c>
      <c r="S177" s="232"/>
    </row>
    <row r="178" spans="2:19" hidden="1">
      <c r="B178" s="52" t="s">
        <v>9</v>
      </c>
      <c r="C178" s="232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8">
        <v>0.02</v>
      </c>
      <c r="I178" s="30">
        <f t="shared" si="144"/>
        <v>21294.020000000004</v>
      </c>
      <c r="J178" s="32">
        <f t="shared" si="145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46"/>
        <v>26520.306666666667</v>
      </c>
      <c r="O178" s="32">
        <f t="shared" si="147"/>
        <v>41.373333333333335</v>
      </c>
      <c r="P178" s="591">
        <f t="shared" si="148"/>
        <v>5226.2866666666632</v>
      </c>
      <c r="Q178" s="7">
        <f t="shared" si="149"/>
        <v>0.24543447722255649</v>
      </c>
      <c r="R178" s="606"/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8">
        <v>0.02</v>
      </c>
      <c r="I179" s="30">
        <f t="shared" ref="I179:I184" si="150">+(G179+H179)*F179</f>
        <v>11925.980000000001</v>
      </c>
      <c r="J179" s="32">
        <f t="shared" si="145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46"/>
        <v>14849.436666666668</v>
      </c>
      <c r="O179" s="32">
        <f t="shared" si="147"/>
        <v>41.363333333333337</v>
      </c>
      <c r="P179" s="591">
        <f t="shared" si="148"/>
        <v>2923.4566666666669</v>
      </c>
      <c r="Q179" s="7">
        <f t="shared" si="149"/>
        <v>0.24513345374272527</v>
      </c>
      <c r="R179" s="606"/>
      <c r="S179" s="232"/>
    </row>
    <row r="180" spans="2:19" hidden="1">
      <c r="B180" s="69" t="s">
        <v>9</v>
      </c>
      <c r="C180" s="231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7">
        <v>0.02</v>
      </c>
      <c r="I180" s="31">
        <f t="shared" si="150"/>
        <v>6260</v>
      </c>
      <c r="J180" s="33">
        <f t="shared" si="145"/>
        <v>31.3</v>
      </c>
      <c r="K180" s="270">
        <v>40175</v>
      </c>
      <c r="L180" s="73">
        <v>41.38</v>
      </c>
      <c r="M180" s="84">
        <f>20/1200</f>
        <v>1.6666666666666666E-2</v>
      </c>
      <c r="N180" s="35">
        <f t="shared" si="146"/>
        <v>8272.6666666666679</v>
      </c>
      <c r="O180" s="33">
        <f t="shared" si="147"/>
        <v>41.363333333333337</v>
      </c>
      <c r="P180" s="592">
        <f t="shared" si="148"/>
        <v>2012.6666666666679</v>
      </c>
      <c r="Q180" s="15">
        <f t="shared" si="149"/>
        <v>0.32151224707135267</v>
      </c>
      <c r="R180" s="224"/>
      <c r="S180" s="232"/>
    </row>
    <row r="181" spans="2:19">
      <c r="B181" s="77" t="s">
        <v>9</v>
      </c>
      <c r="C181" s="78" t="s">
        <v>17</v>
      </c>
      <c r="D181" s="78" t="s">
        <v>11</v>
      </c>
      <c r="E181" s="90">
        <v>40133</v>
      </c>
      <c r="F181" s="80">
        <v>1000</v>
      </c>
      <c r="G181" s="81">
        <v>19.3</v>
      </c>
      <c r="H181" s="89">
        <f>15.84/1100</f>
        <v>1.44E-2</v>
      </c>
      <c r="I181" s="63">
        <f t="shared" si="150"/>
        <v>19314.399999999998</v>
      </c>
      <c r="J181" s="64">
        <f t="shared" si="145"/>
        <v>19.314399999999999</v>
      </c>
      <c r="K181" s="90">
        <v>40213</v>
      </c>
      <c r="L181" s="81">
        <v>17.100000000000001</v>
      </c>
      <c r="M181" s="89">
        <f>15.21/1000</f>
        <v>1.5210000000000001E-2</v>
      </c>
      <c r="N181" s="63">
        <f t="shared" si="146"/>
        <v>17084.79</v>
      </c>
      <c r="O181" s="64">
        <f t="shared" si="147"/>
        <v>17.084790000000002</v>
      </c>
      <c r="P181" s="59">
        <f t="shared" si="148"/>
        <v>-2229.6099999999969</v>
      </c>
      <c r="Q181" s="61">
        <f t="shared" si="149"/>
        <v>-0.11543770451062406</v>
      </c>
      <c r="R181" s="605">
        <f>SUM(R182:R195)</f>
        <v>3523.7949302325578</v>
      </c>
      <c r="S181" s="604">
        <v>2010</v>
      </c>
    </row>
    <row r="182" spans="2:19">
      <c r="B182" s="52" t="s">
        <v>9</v>
      </c>
      <c r="C182" s="232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8">
        <f>15.84/1100</f>
        <v>1.44E-2</v>
      </c>
      <c r="I182" s="30">
        <f t="shared" si="150"/>
        <v>1931.4399999999998</v>
      </c>
      <c r="J182" s="32">
        <f t="shared" si="145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46"/>
        <v>1662.1641860465115</v>
      </c>
      <c r="O182" s="32">
        <f t="shared" si="147"/>
        <v>16.621641860465115</v>
      </c>
      <c r="P182" s="594">
        <f t="shared" si="148"/>
        <v>-269.2758139534883</v>
      </c>
      <c r="Q182" s="7">
        <f t="shared" si="149"/>
        <v>-0.13941712605801285</v>
      </c>
      <c r="R182" s="607"/>
      <c r="S182" s="232"/>
    </row>
    <row r="183" spans="2:19">
      <c r="B183" s="52" t="s">
        <v>9</v>
      </c>
      <c r="C183" s="232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8">
        <f>14.08/550</f>
        <v>2.5600000000000001E-2</v>
      </c>
      <c r="I183" s="30">
        <f t="shared" si="150"/>
        <v>9534.58</v>
      </c>
      <c r="J183" s="32">
        <f t="shared" si="145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46"/>
        <v>9141.9030232558125</v>
      </c>
      <c r="O183" s="32">
        <f t="shared" si="147"/>
        <v>16.621641860465115</v>
      </c>
      <c r="P183" s="594">
        <f t="shared" si="148"/>
        <v>-392.67697674418741</v>
      </c>
      <c r="Q183" s="7">
        <f t="shared" si="149"/>
        <v>-4.1184506999174315E-2</v>
      </c>
      <c r="R183" s="607"/>
      <c r="S183" s="232"/>
    </row>
    <row r="184" spans="2:19">
      <c r="B184" s="52" t="s">
        <v>9</v>
      </c>
      <c r="C184" s="232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8">
        <f>16.49/1500</f>
        <v>1.0993333333333332E-2</v>
      </c>
      <c r="I184" s="30">
        <f t="shared" si="150"/>
        <v>25613.989999999998</v>
      </c>
      <c r="J184" s="32">
        <f t="shared" si="145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46"/>
        <v>24932.462790697671</v>
      </c>
      <c r="O184" s="32">
        <f t="shared" si="147"/>
        <v>16.621641860465115</v>
      </c>
      <c r="P184" s="594">
        <f t="shared" si="148"/>
        <v>-681.52720930232681</v>
      </c>
      <c r="Q184" s="7">
        <f t="shared" si="149"/>
        <v>-2.6607615966990183E-2</v>
      </c>
      <c r="R184" s="607"/>
      <c r="S184" s="232"/>
    </row>
    <row r="185" spans="2:19">
      <c r="B185" s="52" t="s">
        <v>9</v>
      </c>
      <c r="C185" s="232" t="s">
        <v>596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8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94">
        <f>+N185-I185</f>
        <v>-944.93666666666832</v>
      </c>
      <c r="Q185" s="7">
        <f>+P185/I185</f>
        <v>-4.774913030962552E-2</v>
      </c>
      <c r="R185" s="607"/>
      <c r="S185" s="232"/>
    </row>
    <row r="186" spans="2:19">
      <c r="B186" s="52" t="s">
        <v>9</v>
      </c>
      <c r="C186" s="232" t="s">
        <v>596</v>
      </c>
      <c r="D186" s="53" t="s">
        <v>11</v>
      </c>
      <c r="E186" s="76">
        <v>40213</v>
      </c>
      <c r="F186" s="55">
        <v>1000</v>
      </c>
      <c r="G186" s="83">
        <v>9.74</v>
      </c>
      <c r="H186" s="228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95">
        <f>+N186-I186</f>
        <v>-331.77333333333445</v>
      </c>
      <c r="Q186" s="596">
        <f>+P186/I186</f>
        <v>-3.4013696106906161E-2</v>
      </c>
      <c r="R186" s="608">
        <f>SUM(P181:P186)</f>
        <v>-4849.800000000002</v>
      </c>
      <c r="S186" s="232"/>
    </row>
    <row r="187" spans="2:19">
      <c r="B187" s="52" t="s">
        <v>9</v>
      </c>
      <c r="C187" s="232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8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95">
        <f>+N187-I187</f>
        <v>3031.3599999999988</v>
      </c>
      <c r="Q187" s="596">
        <f>+P187/I187</f>
        <v>0.18648681735997766</v>
      </c>
      <c r="R187" s="608">
        <f>+P187</f>
        <v>3031.3599999999988</v>
      </c>
      <c r="S187" s="232"/>
    </row>
    <row r="188" spans="2:19">
      <c r="B188" s="52" t="s">
        <v>9</v>
      </c>
      <c r="C188" s="232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8">
        <f>18.8/1200</f>
        <v>1.5666666666666666E-2</v>
      </c>
      <c r="I188" s="30">
        <f t="shared" ref="I188:I191" si="151">+(G188+H188)*F188</f>
        <v>10046.155999999999</v>
      </c>
      <c r="J188" s="32">
        <f t="shared" ref="J188:J191" si="152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53">+(L188-M188)*F188</f>
        <v>12201.56</v>
      </c>
      <c r="O188" s="32">
        <f t="shared" ref="O188:O189" si="154">+N188/F188</f>
        <v>10.167966666666667</v>
      </c>
      <c r="P188" s="594">
        <f t="shared" ref="P188:P189" si="155">+N188-I188</f>
        <v>2155.4040000000005</v>
      </c>
      <c r="Q188" s="7">
        <f t="shared" ref="Q188:Q189" si="156">+P188/I188</f>
        <v>0.21455012245479771</v>
      </c>
      <c r="R188" s="607"/>
      <c r="S188" s="232"/>
    </row>
    <row r="189" spans="2:19">
      <c r="B189" s="52" t="s">
        <v>9</v>
      </c>
      <c r="C189" s="232" t="s">
        <v>672</v>
      </c>
      <c r="D189" s="53" t="s">
        <v>597</v>
      </c>
      <c r="E189" s="76">
        <v>40359</v>
      </c>
      <c r="F189" s="55">
        <v>500</v>
      </c>
      <c r="G189" s="83">
        <v>44.48</v>
      </c>
      <c r="H189" s="228">
        <f>+(373.44-224)/500</f>
        <v>0.29887999999999998</v>
      </c>
      <c r="I189" s="30">
        <f t="shared" si="151"/>
        <v>22389.439999999999</v>
      </c>
      <c r="J189" s="32">
        <f t="shared" si="152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53"/>
        <v>27866.79</v>
      </c>
      <c r="O189" s="32">
        <f t="shared" si="154"/>
        <v>55.733580000000003</v>
      </c>
      <c r="P189" s="594">
        <f t="shared" si="155"/>
        <v>5477.3500000000022</v>
      </c>
      <c r="Q189" s="7">
        <f t="shared" si="156"/>
        <v>0.24463988380236409</v>
      </c>
      <c r="R189" s="607"/>
      <c r="S189" s="232"/>
    </row>
    <row r="190" spans="2:19">
      <c r="B190" s="52" t="s">
        <v>9</v>
      </c>
      <c r="C190" s="232" t="s">
        <v>596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8">
        <f>28.83/3000</f>
        <v>9.6099999999999988E-3</v>
      </c>
      <c r="I190" s="30">
        <f t="shared" si="151"/>
        <v>14246.845000000001</v>
      </c>
      <c r="J190" s="32">
        <f t="shared" si="152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1" si="157">+(L190-M190)*F190</f>
        <v>7741.22</v>
      </c>
      <c r="O190" s="32">
        <f t="shared" ref="O190:O191" si="158">+N190/F190</f>
        <v>5.1608133333333335</v>
      </c>
      <c r="P190" s="595">
        <f t="shared" ref="P190:P191" si="159">+N190-I190</f>
        <v>-6505.6250000000009</v>
      </c>
      <c r="Q190" s="596">
        <f t="shared" ref="Q190:Q191" si="160">+P190/I190</f>
        <v>-0.45663618857368071</v>
      </c>
      <c r="R190" s="608">
        <f>SUM(P188:P190)</f>
        <v>1127.1290000000017</v>
      </c>
      <c r="S190" s="232"/>
    </row>
    <row r="191" spans="2:19">
      <c r="B191" s="52" t="s">
        <v>9</v>
      </c>
      <c r="C191" s="232" t="s">
        <v>17</v>
      </c>
      <c r="D191" s="53" t="s">
        <v>11</v>
      </c>
      <c r="E191" s="76">
        <v>40213</v>
      </c>
      <c r="F191" s="55">
        <v>1500</v>
      </c>
      <c r="G191" s="83">
        <f>+(1373*16.625+777*16.63)/2150</f>
        <v>16.626806976744184</v>
      </c>
      <c r="H191" s="228">
        <f>+(16.07+6.89)/2150</f>
        <v>1.0679069767441861E-2</v>
      </c>
      <c r="I191" s="30">
        <f t="shared" si="151"/>
        <v>24956.22906976744</v>
      </c>
      <c r="J191" s="32">
        <f t="shared" si="152"/>
        <v>16.637486046511626</v>
      </c>
      <c r="K191" s="131">
        <v>40465</v>
      </c>
      <c r="L191" s="56">
        <f>+(19.46*921+19.465*579)/1500</f>
        <v>19.461929999999999</v>
      </c>
      <c r="M191" s="83">
        <f>+(14.29+7.27)/1500</f>
        <v>1.4373333333333332E-2</v>
      </c>
      <c r="N191" s="34">
        <f t="shared" si="157"/>
        <v>29171.334999999999</v>
      </c>
      <c r="O191" s="32">
        <f t="shared" si="158"/>
        <v>19.447556666666667</v>
      </c>
      <c r="P191" s="595">
        <f t="shared" si="159"/>
        <v>4215.1059302325593</v>
      </c>
      <c r="Q191" s="596">
        <f t="shared" si="160"/>
        <v>0.16889995353259668</v>
      </c>
      <c r="R191" s="608">
        <f>+P191</f>
        <v>4215.1059302325593</v>
      </c>
      <c r="S191" s="232"/>
    </row>
    <row r="192" spans="2:19">
      <c r="B192" s="52"/>
      <c r="C192" s="232"/>
      <c r="D192" s="53"/>
      <c r="E192" s="76"/>
      <c r="F192" s="55"/>
      <c r="G192" s="83"/>
      <c r="H192" s="228"/>
      <c r="I192" s="30"/>
      <c r="J192" s="32"/>
      <c r="K192" s="131"/>
      <c r="L192" s="56"/>
      <c r="M192" s="83"/>
      <c r="N192" s="34"/>
      <c r="O192" s="32"/>
      <c r="P192" s="56"/>
      <c r="Q192" s="7"/>
      <c r="R192" s="179"/>
      <c r="S192" s="232"/>
    </row>
    <row r="193" spans="1:19">
      <c r="B193" s="52"/>
      <c r="C193" s="232"/>
      <c r="D193" s="53"/>
      <c r="E193" s="76"/>
      <c r="F193" s="55"/>
      <c r="G193" s="83"/>
      <c r="H193" s="228"/>
      <c r="I193" s="30"/>
      <c r="J193" s="32"/>
      <c r="K193" s="131"/>
      <c r="L193" s="56"/>
      <c r="M193" s="83"/>
      <c r="N193" s="34"/>
      <c r="O193" s="32"/>
      <c r="P193" s="56"/>
      <c r="Q193" s="7"/>
      <c r="R193" s="179"/>
      <c r="S193" s="232"/>
    </row>
    <row r="194" spans="1:19">
      <c r="B194" s="52"/>
      <c r="C194" s="232"/>
      <c r="D194" s="53"/>
      <c r="E194" s="76"/>
      <c r="F194" s="55"/>
      <c r="G194" s="56"/>
      <c r="H194" s="228"/>
      <c r="I194" s="30"/>
      <c r="J194" s="32"/>
      <c r="K194" s="574"/>
      <c r="L194" s="82"/>
      <c r="M194" s="575"/>
      <c r="N194" s="576"/>
      <c r="O194" s="577"/>
      <c r="P194" s="82"/>
      <c r="Q194" s="578"/>
      <c r="R194" s="179"/>
      <c r="S194" s="232"/>
    </row>
    <row r="195" spans="1:19">
      <c r="B195" s="69"/>
      <c r="C195" s="70"/>
      <c r="D195" s="70"/>
      <c r="E195" s="71"/>
      <c r="F195" s="72"/>
      <c r="G195" s="73"/>
      <c r="H195" s="229"/>
      <c r="I195" s="35"/>
      <c r="J195" s="33"/>
      <c r="K195" s="269"/>
      <c r="L195" s="73"/>
      <c r="M195" s="84"/>
      <c r="N195" s="35"/>
      <c r="O195" s="33"/>
      <c r="P195" s="31"/>
      <c r="Q195" s="15"/>
      <c r="S195" s="1"/>
    </row>
    <row r="196" spans="1:19">
      <c r="H196" s="65" t="s">
        <v>18</v>
      </c>
      <c r="I196" s="65">
        <f>SUM(I73:I195)</f>
        <v>980995.24558388407</v>
      </c>
      <c r="J196" s="66"/>
      <c r="K196" s="74"/>
      <c r="L196" s="75"/>
      <c r="M196" s="62"/>
      <c r="N196" s="65">
        <f>SUM(N73:N195)</f>
        <v>1180918.5859999997</v>
      </c>
      <c r="O196" s="66"/>
      <c r="P196" s="62">
        <f>+N196-I196</f>
        <v>199923.34041611559</v>
      </c>
      <c r="Q196" s="14">
        <f>+P196/I196</f>
        <v>0.20379644174230641</v>
      </c>
      <c r="S196" s="1"/>
    </row>
    <row r="197" spans="1:19">
      <c r="K197" s="1" t="s">
        <v>64</v>
      </c>
      <c r="O197" s="1">
        <v>2</v>
      </c>
      <c r="P197" s="1" t="s">
        <v>65</v>
      </c>
      <c r="S197" s="1"/>
    </row>
    <row r="198" spans="1:19">
      <c r="G198" s="12"/>
      <c r="K198" s="1" t="s">
        <v>68</v>
      </c>
      <c r="O198" s="1">
        <v>0.32</v>
      </c>
      <c r="P198" s="1" t="s">
        <v>66</v>
      </c>
      <c r="S198" s="1"/>
    </row>
    <row r="199" spans="1:19">
      <c r="O199" s="1">
        <v>0.24</v>
      </c>
      <c r="P199" s="1" t="s">
        <v>67</v>
      </c>
      <c r="S199" s="1"/>
    </row>
    <row r="200" spans="1:19">
      <c r="B200" s="68" t="s">
        <v>130</v>
      </c>
      <c r="C200" s="20"/>
      <c r="D200" s="20"/>
      <c r="E200" s="26" t="s">
        <v>1</v>
      </c>
      <c r="F200" s="28"/>
      <c r="G200" s="27"/>
      <c r="H200" s="28"/>
      <c r="I200" s="27"/>
      <c r="J200" s="29"/>
      <c r="K200" s="49" t="s">
        <v>60</v>
      </c>
      <c r="L200" s="50"/>
      <c r="S200" s="1"/>
    </row>
    <row r="201" spans="1:19">
      <c r="B201" s="36" t="s">
        <v>2</v>
      </c>
      <c r="C201" s="37" t="s">
        <v>3</v>
      </c>
      <c r="D201" s="37" t="s">
        <v>4</v>
      </c>
      <c r="E201" s="36" t="s">
        <v>5</v>
      </c>
      <c r="F201" s="67" t="s">
        <v>30</v>
      </c>
      <c r="G201" s="40" t="s">
        <v>6</v>
      </c>
      <c r="H201" s="40" t="s">
        <v>22</v>
      </c>
      <c r="I201" s="41" t="s">
        <v>23</v>
      </c>
      <c r="J201" s="42"/>
      <c r="K201" s="40" t="s">
        <v>26</v>
      </c>
      <c r="L201" s="43" t="s">
        <v>7</v>
      </c>
    </row>
    <row r="202" spans="1:19">
      <c r="B202" s="38"/>
      <c r="C202" s="39"/>
      <c r="D202" s="39"/>
      <c r="E202" s="38"/>
      <c r="F202" s="44"/>
      <c r="G202" s="45" t="s">
        <v>20</v>
      </c>
      <c r="H202" s="45" t="s">
        <v>20</v>
      </c>
      <c r="I202" s="46" t="s">
        <v>20</v>
      </c>
      <c r="J202" s="47" t="s">
        <v>24</v>
      </c>
      <c r="K202" s="45" t="s">
        <v>20</v>
      </c>
      <c r="L202" s="48" t="s">
        <v>8</v>
      </c>
    </row>
    <row r="203" spans="1:19">
      <c r="B203" s="85" t="s">
        <v>15</v>
      </c>
      <c r="C203" s="86" t="s">
        <v>10</v>
      </c>
      <c r="D203" s="86" t="s">
        <v>11</v>
      </c>
      <c r="E203" s="74" t="s">
        <v>12</v>
      </c>
      <c r="F203" s="87">
        <v>297</v>
      </c>
      <c r="G203" s="75">
        <v>19.05</v>
      </c>
      <c r="H203" s="75">
        <v>0</v>
      </c>
      <c r="I203" s="65">
        <f>+F203*G203+H203</f>
        <v>5657.85</v>
      </c>
      <c r="J203" s="66">
        <f>+I203/F203</f>
        <v>19.05</v>
      </c>
      <c r="K203" s="59">
        <f>VLOOKUP(C203,$B$52:$D$66,3,0)*F203</f>
        <v>5375.7000000000007</v>
      </c>
      <c r="L203" s="61">
        <f>+K203/I203-1</f>
        <v>-4.986876640419946E-2</v>
      </c>
    </row>
    <row r="204" spans="1:19">
      <c r="B204" s="52"/>
      <c r="C204" s="53"/>
      <c r="D204" s="53"/>
      <c r="E204" s="54"/>
      <c r="F204" s="55"/>
      <c r="G204" s="56"/>
      <c r="H204" s="56"/>
      <c r="I204" s="34"/>
      <c r="J204" s="32"/>
      <c r="K204" s="26" t="s">
        <v>32</v>
      </c>
      <c r="L204" s="28"/>
      <c r="M204" s="27"/>
      <c r="N204" s="28"/>
      <c r="O204" s="29"/>
      <c r="P204" s="49" t="s">
        <v>25</v>
      </c>
      <c r="Q204" s="50"/>
    </row>
    <row r="205" spans="1:19">
      <c r="B205" s="52"/>
      <c r="C205" s="53"/>
      <c r="D205" s="53"/>
      <c r="E205" s="54"/>
      <c r="F205" s="55"/>
      <c r="G205" s="56"/>
      <c r="H205" s="56"/>
      <c r="I205" s="34"/>
      <c r="J205" s="32"/>
      <c r="K205" s="36" t="s">
        <v>5</v>
      </c>
      <c r="L205" s="40" t="s">
        <v>6</v>
      </c>
      <c r="M205" s="40" t="s">
        <v>22</v>
      </c>
      <c r="N205" s="41" t="s">
        <v>34</v>
      </c>
      <c r="O205" s="42"/>
      <c r="P205" s="40" t="s">
        <v>35</v>
      </c>
      <c r="Q205" s="43" t="s">
        <v>7</v>
      </c>
    </row>
    <row r="206" spans="1:19">
      <c r="B206" s="52"/>
      <c r="C206" s="53"/>
      <c r="D206" s="53"/>
      <c r="E206" s="54"/>
      <c r="F206" s="55"/>
      <c r="G206" s="56"/>
      <c r="H206" s="56"/>
      <c r="I206" s="34"/>
      <c r="J206" s="32"/>
      <c r="K206" s="38"/>
      <c r="L206" s="45" t="s">
        <v>33</v>
      </c>
      <c r="M206" s="45" t="s">
        <v>20</v>
      </c>
      <c r="N206" s="46" t="s">
        <v>20</v>
      </c>
      <c r="O206" s="47" t="s">
        <v>24</v>
      </c>
      <c r="P206" s="45" t="s">
        <v>20</v>
      </c>
      <c r="Q206" s="48" t="s">
        <v>36</v>
      </c>
    </row>
    <row r="207" spans="1:19">
      <c r="B207" s="69" t="s">
        <v>15</v>
      </c>
      <c r="C207" s="70" t="s">
        <v>16</v>
      </c>
      <c r="D207" s="70" t="s">
        <v>11</v>
      </c>
      <c r="E207" s="71" t="s">
        <v>14</v>
      </c>
      <c r="F207" s="72">
        <v>220</v>
      </c>
      <c r="G207" s="73">
        <v>19</v>
      </c>
      <c r="H207" s="73">
        <v>0</v>
      </c>
      <c r="I207" s="35">
        <f>+F207*G207+H207</f>
        <v>4180</v>
      </c>
      <c r="J207" s="33">
        <f>+I207/F207</f>
        <v>19</v>
      </c>
      <c r="K207" s="180"/>
      <c r="L207" s="73"/>
      <c r="M207" s="84"/>
      <c r="N207" s="35">
        <f>+N85+N86</f>
        <v>2855.5699999999997</v>
      </c>
      <c r="O207" s="33"/>
      <c r="P207" s="31">
        <f>+N207-I207</f>
        <v>-1324.4300000000003</v>
      </c>
      <c r="Q207" s="15">
        <f>+P207/I207</f>
        <v>-0.31684928229665077</v>
      </c>
    </row>
    <row r="208" spans="1:19">
      <c r="A208" s="55"/>
      <c r="B208" s="55" t="s">
        <v>126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</row>
    <row r="209" spans="1:35">
      <c r="A209" s="12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35">
      <c r="A210" s="2" t="s">
        <v>127</v>
      </c>
      <c r="B210" s="17"/>
      <c r="C210" s="17"/>
      <c r="D210" s="17"/>
      <c r="E210" s="17"/>
      <c r="F210" s="3"/>
      <c r="G210" s="3"/>
      <c r="H210" s="272" t="s">
        <v>128</v>
      </c>
      <c r="I210" s="30">
        <f>+N207</f>
        <v>2855.5699999999997</v>
      </c>
      <c r="J210" s="3"/>
      <c r="M210" s="3"/>
      <c r="N210" s="30">
        <f>+I210*(1+Q210)</f>
        <v>3386.0276719362619</v>
      </c>
      <c r="O210" s="3"/>
      <c r="P210" s="30">
        <f>+N210-I210</f>
        <v>530.45767193626216</v>
      </c>
      <c r="Q210" s="7">
        <f>SUMIF(A84:A195,A210,P84:P195)/SUMIF(A84:A195,A210,I84:I195)</f>
        <v>0.18576244740498815</v>
      </c>
    </row>
    <row r="211" spans="1:35">
      <c r="A211" s="2" t="s">
        <v>129</v>
      </c>
      <c r="B211" s="178"/>
      <c r="C211" s="17"/>
      <c r="D211" s="17"/>
      <c r="E211" s="17"/>
      <c r="F211" s="3"/>
      <c r="G211" s="3"/>
      <c r="H211" s="3"/>
      <c r="I211" s="30">
        <f>+N210</f>
        <v>3386.0276719362619</v>
      </c>
      <c r="J211" s="3"/>
      <c r="N211" s="181">
        <f>+I211*(1+Q211)</f>
        <v>3944.2551519269559</v>
      </c>
      <c r="O211" s="3"/>
      <c r="P211" s="59">
        <f>+N211-I211</f>
        <v>558.22747999069406</v>
      </c>
      <c r="Q211" s="7">
        <f>SUMIF(A85:A196,A211,P85:P196)/SUMIF(A85:A196,A211,I85:I196)</f>
        <v>0.16486205491388611</v>
      </c>
    </row>
    <row r="212" spans="1:35">
      <c r="A212" s="2"/>
      <c r="B212" s="178"/>
      <c r="C212" s="17"/>
      <c r="D212" s="179"/>
      <c r="E212" s="178"/>
      <c r="F212" s="3"/>
      <c r="G212" s="3"/>
      <c r="H212" s="3"/>
      <c r="I212" s="3" t="s">
        <v>176</v>
      </c>
      <c r="J212" s="3"/>
      <c r="K212" s="3"/>
      <c r="L212" s="3"/>
      <c r="M212" s="3"/>
      <c r="N212" s="3"/>
      <c r="O212" s="3"/>
      <c r="P212" s="3"/>
      <c r="Q212" s="7"/>
    </row>
    <row r="213" spans="1:35">
      <c r="A213" s="2" t="s">
        <v>132</v>
      </c>
      <c r="B213" s="178" t="s">
        <v>135</v>
      </c>
      <c r="C213" s="17"/>
      <c r="D213" s="17"/>
      <c r="E213" s="17"/>
      <c r="F213" s="3" t="s">
        <v>134</v>
      </c>
      <c r="H213" s="107">
        <f>+N211</f>
        <v>3944.2551519269559</v>
      </c>
      <c r="I213" s="1" t="s">
        <v>136</v>
      </c>
      <c r="J213" s="271">
        <f>+(SUMIF(A10:A42,A213,K10:K42)+SUMIF(A93:A195,A213,N93:N195))/(SUMIF(A10:A42,A213,I10:I42)+SUMIF(A93:A195,A213,I93:I195))-1</f>
        <v>0.51297210887799083</v>
      </c>
      <c r="K213" s="3" t="s">
        <v>133</v>
      </c>
      <c r="L213" s="181">
        <f>+H213*(1+J213)</f>
        <v>5967.5480351638071</v>
      </c>
      <c r="M213" s="3"/>
      <c r="N213" s="3"/>
      <c r="O213" s="3"/>
      <c r="P213" s="3"/>
      <c r="Q213" s="8"/>
    </row>
    <row r="214" spans="1:35">
      <c r="A214" s="2"/>
      <c r="B214" s="178"/>
      <c r="C214" s="17"/>
      <c r="D214" s="17"/>
      <c r="E214" s="17"/>
      <c r="F214" s="3"/>
      <c r="H214" s="107"/>
      <c r="J214" s="58"/>
      <c r="K214" s="3"/>
      <c r="L214" s="181"/>
      <c r="M214" s="3"/>
      <c r="N214" s="3"/>
      <c r="O214" s="3"/>
      <c r="P214" s="3"/>
      <c r="Q214" s="8"/>
    </row>
    <row r="215" spans="1:35">
      <c r="A215" s="120" t="s">
        <v>173</v>
      </c>
      <c r="B215" s="238"/>
      <c r="C215" s="177"/>
      <c r="D215" s="177"/>
      <c r="E215" s="177"/>
      <c r="F215" s="122"/>
      <c r="G215" s="122"/>
      <c r="H215" s="239" t="s">
        <v>171</v>
      </c>
      <c r="I215" s="177" t="s">
        <v>3</v>
      </c>
      <c r="J215" s="240"/>
      <c r="K215" s="122"/>
      <c r="L215" s="241"/>
      <c r="M215" s="147"/>
      <c r="N215" s="3"/>
      <c r="O215" s="3"/>
      <c r="P215" s="3"/>
      <c r="Q215" s="8"/>
    </row>
    <row r="216" spans="1:35">
      <c r="A216" s="2"/>
      <c r="B216" s="178" t="s">
        <v>170</v>
      </c>
      <c r="C216" s="17"/>
      <c r="D216" s="17"/>
      <c r="E216" s="17"/>
      <c r="F216" s="3">
        <v>15.57</v>
      </c>
      <c r="G216" s="3"/>
      <c r="H216" s="5">
        <f>+F203</f>
        <v>297</v>
      </c>
      <c r="I216" s="5">
        <f>+H216*F216</f>
        <v>4624.29</v>
      </c>
      <c r="J216" s="58"/>
      <c r="K216" s="3"/>
      <c r="L216" s="181"/>
      <c r="M216" s="8"/>
      <c r="N216" s="3"/>
      <c r="O216" s="3"/>
      <c r="P216" s="3"/>
      <c r="Q216" s="8"/>
    </row>
    <row r="217" spans="1:35">
      <c r="A217" s="2"/>
      <c r="B217" s="178" t="s">
        <v>172</v>
      </c>
      <c r="C217" s="17"/>
      <c r="D217" s="17"/>
      <c r="E217" s="17"/>
      <c r="F217" s="3"/>
      <c r="G217" s="3"/>
      <c r="H217" s="30"/>
      <c r="I217" s="5">
        <v>1376</v>
      </c>
      <c r="J217" s="58"/>
      <c r="K217" s="3" t="s">
        <v>175</v>
      </c>
      <c r="L217" s="242">
        <f>+(L213-I217)/L213</f>
        <v>0.76941953514376205</v>
      </c>
      <c r="M217" s="8"/>
      <c r="N217" s="3"/>
      <c r="P217" s="3"/>
      <c r="Q217" s="8"/>
    </row>
    <row r="218" spans="1:35">
      <c r="A218" s="9"/>
      <c r="B218" s="243"/>
      <c r="C218" s="18"/>
      <c r="D218" s="18"/>
      <c r="E218" s="18"/>
      <c r="F218" s="127"/>
      <c r="G218" s="127"/>
      <c r="H218" s="31" t="s">
        <v>18</v>
      </c>
      <c r="I218" s="10">
        <f>+I217+I216</f>
        <v>6000.29</v>
      </c>
      <c r="J218" s="208"/>
      <c r="K218" s="127"/>
      <c r="L218" s="244"/>
      <c r="M218" s="19"/>
      <c r="N218" s="3"/>
      <c r="P218" s="3"/>
      <c r="Q218" s="8"/>
    </row>
    <row r="219" spans="1:35">
      <c r="A219" s="2"/>
      <c r="B219" s="178"/>
      <c r="C219" s="17"/>
      <c r="D219" s="17"/>
      <c r="E219" s="17"/>
      <c r="F219" s="3"/>
      <c r="G219" s="3"/>
      <c r="H219" s="30"/>
      <c r="I219" s="5"/>
      <c r="J219" s="58"/>
      <c r="K219" s="3"/>
      <c r="L219" s="181"/>
      <c r="M219" s="3"/>
      <c r="N219" s="3"/>
      <c r="O219" s="3"/>
      <c r="P219" s="3"/>
      <c r="Q219" s="8"/>
    </row>
    <row r="220" spans="1:35">
      <c r="A220" s="2"/>
      <c r="B220" s="1"/>
      <c r="C220" s="17"/>
      <c r="D220" s="17"/>
      <c r="E220" s="17"/>
      <c r="F220" s="3"/>
      <c r="G220" s="279" t="s">
        <v>193</v>
      </c>
      <c r="H220" s="285"/>
      <c r="I220" s="286"/>
      <c r="J220" s="122"/>
      <c r="K220" s="279" t="s">
        <v>195</v>
      </c>
      <c r="L220" s="280"/>
      <c r="M220" s="281"/>
      <c r="N220" s="279" t="s">
        <v>196</v>
      </c>
      <c r="O220" s="280"/>
      <c r="P220" s="281"/>
      <c r="Q220" s="8"/>
      <c r="U220" s="1" t="s">
        <v>233</v>
      </c>
      <c r="Z220" s="279" t="s">
        <v>193</v>
      </c>
      <c r="AA220" s="285"/>
      <c r="AB220" s="286"/>
      <c r="AC220" s="122"/>
      <c r="AD220" s="279" t="s">
        <v>195</v>
      </c>
      <c r="AE220" s="280"/>
      <c r="AF220" s="281"/>
      <c r="AG220" s="279" t="s">
        <v>196</v>
      </c>
      <c r="AH220" s="280"/>
      <c r="AI220" s="281"/>
    </row>
    <row r="221" spans="1:35">
      <c r="A221" s="2"/>
      <c r="B221" s="178" t="s">
        <v>174</v>
      </c>
      <c r="C221" s="17"/>
      <c r="D221" s="17"/>
      <c r="E221" s="17"/>
      <c r="F221" s="3"/>
      <c r="G221" s="22" t="s">
        <v>197</v>
      </c>
      <c r="H221" s="282" t="s">
        <v>201</v>
      </c>
      <c r="I221" s="216" t="s">
        <v>18</v>
      </c>
      <c r="J221" s="290" t="s">
        <v>194</v>
      </c>
      <c r="K221" s="9" t="s">
        <v>193</v>
      </c>
      <c r="L221" s="127" t="s">
        <v>25</v>
      </c>
      <c r="M221" s="216" t="s">
        <v>185</v>
      </c>
      <c r="N221" s="9" t="s">
        <v>193</v>
      </c>
      <c r="O221" s="127" t="s">
        <v>25</v>
      </c>
      <c r="P221" s="216" t="s">
        <v>133</v>
      </c>
      <c r="Q221" s="8"/>
      <c r="Z221" s="22" t="s">
        <v>197</v>
      </c>
      <c r="AA221" s="282" t="s">
        <v>201</v>
      </c>
      <c r="AB221" s="216" t="s">
        <v>18</v>
      </c>
      <c r="AC221" s="290" t="s">
        <v>194</v>
      </c>
      <c r="AD221" s="9" t="s">
        <v>193</v>
      </c>
      <c r="AE221" s="127" t="s">
        <v>25</v>
      </c>
      <c r="AF221" s="216" t="s">
        <v>185</v>
      </c>
      <c r="AG221" s="9" t="s">
        <v>193</v>
      </c>
      <c r="AH221" s="127" t="s">
        <v>25</v>
      </c>
      <c r="AI221" s="216" t="s">
        <v>133</v>
      </c>
    </row>
    <row r="222" spans="1:35">
      <c r="A222" s="2"/>
      <c r="B222" s="297" t="s">
        <v>180</v>
      </c>
      <c r="C222" s="177"/>
      <c r="D222" s="177"/>
      <c r="E222" s="177"/>
      <c r="F222" s="147" t="s">
        <v>132</v>
      </c>
      <c r="G222" s="4">
        <v>3034.786965484027</v>
      </c>
      <c r="H222" s="3"/>
      <c r="I222" s="6">
        <v>3034.786965484027</v>
      </c>
      <c r="J222" s="287">
        <v>1</v>
      </c>
      <c r="K222" s="289">
        <v>3034.786965484027</v>
      </c>
      <c r="L222" s="242">
        <v>0.51297210887799083</v>
      </c>
      <c r="M222" s="6">
        <v>4591.5480351638071</v>
      </c>
      <c r="N222" s="4">
        <v>0</v>
      </c>
      <c r="O222" s="58" t="e">
        <v>#DIV/0!</v>
      </c>
      <c r="P222" s="268">
        <v>0</v>
      </c>
      <c r="Q222" s="276"/>
      <c r="V222" s="17"/>
      <c r="W222" s="17"/>
      <c r="X222" s="17"/>
      <c r="Y222" s="3"/>
      <c r="Z222" s="4">
        <v>3021.2096744101077</v>
      </c>
      <c r="AA222" s="3"/>
      <c r="AB222" s="6">
        <v>3021.2096744101077</v>
      </c>
      <c r="AC222" s="287">
        <v>0.78093193209045797</v>
      </c>
      <c r="AD222" s="289">
        <v>2359.3591082874686</v>
      </c>
      <c r="AE222" s="242">
        <v>0.37667465934858457</v>
      </c>
      <c r="AF222" s="6">
        <v>3248.0698966826312</v>
      </c>
      <c r="AG222" s="4">
        <v>661.85056612263907</v>
      </c>
      <c r="AH222" s="58">
        <v>0.8972561901114855</v>
      </c>
      <c r="AI222" s="268">
        <v>1255.700083504968</v>
      </c>
    </row>
    <row r="223" spans="1:35">
      <c r="A223" s="2"/>
      <c r="B223" s="298" t="s">
        <v>180</v>
      </c>
      <c r="C223" s="17"/>
      <c r="D223" s="17"/>
      <c r="E223" s="17"/>
      <c r="F223" s="8" t="s">
        <v>179</v>
      </c>
      <c r="G223" s="4">
        <v>6000.29</v>
      </c>
      <c r="H223" s="3"/>
      <c r="I223" s="6">
        <v>6000.29</v>
      </c>
      <c r="J223" s="287">
        <v>2.7328101261153957E-2</v>
      </c>
      <c r="K223" s="289">
        <v>163.97653271628948</v>
      </c>
      <c r="L223" s="242">
        <v>0.46017526775201478</v>
      </c>
      <c r="M223" s="6">
        <v>239.43447756405502</v>
      </c>
      <c r="N223" s="4">
        <v>5836.3134672837105</v>
      </c>
      <c r="O223" s="58">
        <v>0.50444491133208191</v>
      </c>
      <c r="P223" s="268">
        <v>9027.1057570167777</v>
      </c>
      <c r="Q223" s="276"/>
      <c r="U223" s="178" t="s">
        <v>174</v>
      </c>
      <c r="V223" s="17"/>
      <c r="W223" s="17"/>
      <c r="X223" s="17"/>
      <c r="Y223" s="3"/>
      <c r="Z223" s="4">
        <v>6000.29</v>
      </c>
      <c r="AA223" s="3"/>
      <c r="AB223" s="6">
        <v>6000.29</v>
      </c>
      <c r="AC223" s="287">
        <v>2.7328101261153957E-2</v>
      </c>
      <c r="AD223" s="289">
        <v>163.97653271628948</v>
      </c>
      <c r="AE223" s="242">
        <v>0.46017526775201478</v>
      </c>
      <c r="AF223" s="6">
        <v>239.43447756405502</v>
      </c>
      <c r="AG223" s="4">
        <v>5836.3134672837105</v>
      </c>
      <c r="AH223" s="58">
        <v>0.4454234536417121</v>
      </c>
      <c r="AI223" s="268">
        <v>8672.959894651829</v>
      </c>
    </row>
    <row r="224" spans="1:35">
      <c r="A224" s="2"/>
      <c r="B224" s="298" t="s">
        <v>180</v>
      </c>
      <c r="C224" s="17"/>
      <c r="D224" s="17"/>
      <c r="E224" s="17"/>
      <c r="F224" s="8" t="s">
        <v>192</v>
      </c>
      <c r="G224" s="4">
        <v>3000</v>
      </c>
      <c r="H224" s="3"/>
      <c r="I224" s="6">
        <v>3000</v>
      </c>
      <c r="J224" s="287">
        <v>0</v>
      </c>
      <c r="K224" s="289">
        <v>0</v>
      </c>
      <c r="L224" s="242">
        <v>0</v>
      </c>
      <c r="M224" s="6">
        <v>0</v>
      </c>
      <c r="N224" s="4">
        <v>3000</v>
      </c>
      <c r="O224" s="58">
        <v>0.30387418621339579</v>
      </c>
      <c r="P224" s="268">
        <v>3911.6225586401874</v>
      </c>
      <c r="Q224" s="276"/>
      <c r="U224" s="297" t="s">
        <v>180</v>
      </c>
      <c r="V224" s="177"/>
      <c r="W224" s="177"/>
      <c r="X224" s="177"/>
      <c r="Y224" s="147" t="s">
        <v>132</v>
      </c>
      <c r="Z224" s="4">
        <v>3000</v>
      </c>
      <c r="AA224" s="3"/>
      <c r="AB224" s="6">
        <v>3000</v>
      </c>
      <c r="AC224" s="287">
        <v>0</v>
      </c>
      <c r="AD224" s="289">
        <v>0</v>
      </c>
      <c r="AE224" s="242">
        <v>0</v>
      </c>
      <c r="AF224" s="6">
        <v>0</v>
      </c>
      <c r="AG224" s="4">
        <v>3000</v>
      </c>
      <c r="AH224" s="58">
        <v>0.26773471205139043</v>
      </c>
      <c r="AI224" s="268">
        <v>3803.2041361541715</v>
      </c>
    </row>
    <row r="225" spans="1:35">
      <c r="A225" s="2"/>
      <c r="B225" s="298"/>
      <c r="C225" s="17"/>
      <c r="D225" s="17"/>
      <c r="E225" s="17"/>
      <c r="F225" s="8"/>
      <c r="G225" s="4"/>
      <c r="H225" s="3"/>
      <c r="I225" s="6"/>
      <c r="J225" s="206"/>
      <c r="K225" s="2"/>
      <c r="L225" s="3"/>
      <c r="M225" s="8"/>
      <c r="N225" s="4"/>
      <c r="O225" s="58"/>
      <c r="P225" s="268"/>
      <c r="Q225" s="276"/>
      <c r="U225" s="298" t="s">
        <v>180</v>
      </c>
      <c r="V225" s="17"/>
      <c r="W225" s="17"/>
      <c r="X225" s="17"/>
      <c r="Y225" s="8" t="s">
        <v>179</v>
      </c>
      <c r="Z225" s="4"/>
      <c r="AA225" s="3"/>
      <c r="AB225" s="6"/>
      <c r="AC225" s="206"/>
      <c r="AD225" s="2"/>
      <c r="AE225" s="3"/>
      <c r="AF225" s="8"/>
      <c r="AG225" s="4"/>
      <c r="AH225" s="58"/>
      <c r="AI225" s="268"/>
    </row>
    <row r="226" spans="1:35">
      <c r="A226" s="2"/>
      <c r="B226" s="299" t="s">
        <v>200</v>
      </c>
      <c r="C226" s="18"/>
      <c r="D226" s="18"/>
      <c r="E226" s="18"/>
      <c r="F226" s="19"/>
      <c r="G226" s="266">
        <v>12035.076965484026</v>
      </c>
      <c r="H226" s="10">
        <v>0</v>
      </c>
      <c r="I226" s="11">
        <v>12035.076965484026</v>
      </c>
      <c r="J226" s="288"/>
      <c r="K226" s="266">
        <v>3198.7634982003165</v>
      </c>
      <c r="L226" s="284">
        <v>0.51026561214852606</v>
      </c>
      <c r="M226" s="11">
        <v>4830.9825127278618</v>
      </c>
      <c r="N226" s="291">
        <v>8836.3134672837114</v>
      </c>
      <c r="O226" s="292">
        <v>0.46426769076972763</v>
      </c>
      <c r="P226" s="148">
        <v>12938.728315656965</v>
      </c>
      <c r="Q226" s="276"/>
      <c r="U226" s="298" t="s">
        <v>180</v>
      </c>
      <c r="V226" s="17"/>
      <c r="W226" s="17"/>
      <c r="X226" s="17"/>
      <c r="Y226" s="8" t="s">
        <v>192</v>
      </c>
      <c r="Z226" s="266">
        <v>12021.499674410108</v>
      </c>
      <c r="AA226" s="10">
        <v>0</v>
      </c>
      <c r="AB226" s="11">
        <v>12021.499674410108</v>
      </c>
      <c r="AC226" s="288"/>
      <c r="AD226" s="266">
        <v>2523.3356410037582</v>
      </c>
      <c r="AE226" s="284">
        <v>0.3821008658441456</v>
      </c>
      <c r="AF226" s="11">
        <v>3487.5043742466864</v>
      </c>
      <c r="AG226" s="291">
        <v>9498.1640334063486</v>
      </c>
      <c r="AH226" s="292">
        <v>0.44573878341267981</v>
      </c>
      <c r="AI226" s="148">
        <v>13731.864114310967</v>
      </c>
    </row>
    <row r="227" spans="1:35">
      <c r="A227" s="2"/>
      <c r="B227" s="178"/>
      <c r="C227" s="17"/>
      <c r="D227" s="17"/>
      <c r="E227" s="17"/>
      <c r="I227" s="12"/>
      <c r="N227" s="12"/>
      <c r="O227" s="58"/>
      <c r="P227" s="211"/>
      <c r="Q227" s="276"/>
      <c r="U227" s="298"/>
      <c r="V227" s="17"/>
      <c r="W227" s="17"/>
      <c r="X227" s="17"/>
      <c r="Y227" s="8"/>
      <c r="AB227" s="12"/>
      <c r="AG227" s="12"/>
      <c r="AH227" s="58"/>
      <c r="AI227" s="211"/>
    </row>
    <row r="228" spans="1:35">
      <c r="A228" s="2"/>
      <c r="B228" s="293" t="s">
        <v>198</v>
      </c>
      <c r="C228" s="184"/>
      <c r="D228" s="184"/>
      <c r="E228" s="184"/>
      <c r="F228" s="119" t="s">
        <v>199</v>
      </c>
      <c r="G228" s="189">
        <v>3000</v>
      </c>
      <c r="H228" s="185">
        <v>3248.0698966826312</v>
      </c>
      <c r="I228" s="13">
        <v>6248.0698966826312</v>
      </c>
      <c r="J228" s="294"/>
      <c r="K228" s="108"/>
      <c r="L228" s="295"/>
      <c r="M228" s="109"/>
      <c r="N228" s="185">
        <v>6248.0698966826312</v>
      </c>
      <c r="O228" s="294">
        <v>0.84366692145946431</v>
      </c>
      <c r="P228" s="296">
        <v>11519.35979148042</v>
      </c>
      <c r="Q228" s="276"/>
      <c r="U228" s="299" t="s">
        <v>200</v>
      </c>
      <c r="V228" s="18"/>
      <c r="W228" s="18"/>
      <c r="X228" s="18"/>
      <c r="Y228" s="19"/>
      <c r="Z228" s="189">
        <v>3000</v>
      </c>
      <c r="AA228" s="185">
        <v>3248.0698966826312</v>
      </c>
      <c r="AB228" s="13">
        <v>6248.0698966826312</v>
      </c>
      <c r="AC228" s="294"/>
      <c r="AD228" s="108"/>
      <c r="AE228" s="295"/>
      <c r="AF228" s="109"/>
      <c r="AG228" s="185">
        <v>6248.0698966826312</v>
      </c>
      <c r="AH228" s="294">
        <v>0.53499863532780112</v>
      </c>
      <c r="AI228" s="296">
        <v>9590.7787648405538</v>
      </c>
    </row>
    <row r="229" spans="1:35">
      <c r="A229" s="2"/>
      <c r="B229" s="293" t="s">
        <v>234</v>
      </c>
      <c r="C229" s="184"/>
      <c r="D229" s="184"/>
      <c r="E229" s="184"/>
      <c r="F229" s="119"/>
      <c r="G229" s="189"/>
      <c r="H229" s="185">
        <v>1582.9126160452306</v>
      </c>
      <c r="I229" s="13"/>
      <c r="J229" s="294"/>
      <c r="K229" s="108"/>
      <c r="L229" s="295"/>
      <c r="M229" s="109"/>
      <c r="N229" s="185">
        <v>1582.9126160452306</v>
      </c>
      <c r="O229" s="315">
        <v>0</v>
      </c>
      <c r="P229" s="296">
        <v>1582.9126160452306</v>
      </c>
      <c r="Q229" s="276"/>
      <c r="U229" s="178"/>
      <c r="V229" s="17"/>
      <c r="W229" s="17"/>
      <c r="X229" s="17"/>
      <c r="Z229" s="5"/>
      <c r="AA229" s="5"/>
      <c r="AB229" s="5"/>
      <c r="AC229" s="58"/>
      <c r="AD229" s="3"/>
      <c r="AE229" s="181"/>
      <c r="AF229" s="3"/>
      <c r="AG229" s="5"/>
      <c r="AH229" s="58"/>
      <c r="AI229" s="211"/>
    </row>
    <row r="230" spans="1:35">
      <c r="A230" s="2"/>
      <c r="B230" s="178"/>
      <c r="C230" s="17"/>
      <c r="D230" s="17"/>
      <c r="E230" s="17"/>
      <c r="H230" s="278"/>
      <c r="I230" s="5"/>
      <c r="J230" s="58"/>
      <c r="L230" s="181"/>
      <c r="M230" s="3"/>
      <c r="N230" s="5"/>
      <c r="O230" s="3"/>
      <c r="P230" s="5"/>
      <c r="Q230" s="276"/>
      <c r="U230" s="293" t="s">
        <v>198</v>
      </c>
      <c r="V230" s="184"/>
      <c r="W230" s="184"/>
      <c r="X230" s="184"/>
      <c r="Y230" s="119" t="s">
        <v>199</v>
      </c>
      <c r="AA230" s="278"/>
      <c r="AB230" s="5"/>
      <c r="AC230" s="58"/>
      <c r="AE230" s="181"/>
      <c r="AF230" s="3"/>
      <c r="AG230" s="5"/>
      <c r="AH230" s="3"/>
      <c r="AI230" s="5"/>
    </row>
    <row r="231" spans="1:35">
      <c r="A231" s="2"/>
      <c r="B231" s="293" t="s">
        <v>181</v>
      </c>
      <c r="C231" s="184"/>
      <c r="D231" s="184"/>
      <c r="E231" s="184"/>
      <c r="F231" s="119"/>
      <c r="G231" s="189">
        <v>15035.076965484026</v>
      </c>
      <c r="H231" s="185">
        <v>4830.9825127278618</v>
      </c>
      <c r="I231" s="13">
        <v>19866.059478211886</v>
      </c>
      <c r="J231" s="294"/>
      <c r="K231" s="108"/>
      <c r="L231" s="295"/>
      <c r="M231" s="109"/>
      <c r="N231" s="185"/>
      <c r="O231" s="294"/>
      <c r="P231" s="296">
        <v>26041.000723182617</v>
      </c>
      <c r="Q231" s="276"/>
      <c r="U231" s="178"/>
      <c r="V231" s="17"/>
      <c r="W231" s="17"/>
      <c r="X231" s="17"/>
      <c r="Y231" s="3"/>
      <c r="Z231" s="189">
        <v>15021.499674410108</v>
      </c>
      <c r="AA231" s="185">
        <v>3248.0698966826312</v>
      </c>
      <c r="AB231" s="13">
        <v>18269.569571092739</v>
      </c>
      <c r="AC231" s="294"/>
      <c r="AD231" s="108"/>
      <c r="AE231" s="295"/>
      <c r="AF231" s="109"/>
      <c r="AG231" s="185"/>
      <c r="AH231" s="294"/>
      <c r="AI231" s="296">
        <v>23322.642879151521</v>
      </c>
    </row>
    <row r="232" spans="1:35">
      <c r="A232" s="2"/>
      <c r="B232" s="178"/>
      <c r="C232" s="17"/>
      <c r="D232" s="17"/>
      <c r="E232" s="17"/>
      <c r="F232" s="21"/>
      <c r="G232" s="12"/>
      <c r="H232" s="278"/>
      <c r="I232" s="5"/>
      <c r="J232" s="58"/>
      <c r="L232" s="12"/>
      <c r="M232" s="3"/>
      <c r="N232" s="181"/>
      <c r="O232" s="3"/>
      <c r="P232" s="30"/>
      <c r="Q232" s="8"/>
      <c r="U232" s="178"/>
      <c r="V232" s="17"/>
      <c r="W232" s="17"/>
      <c r="X232" s="17"/>
      <c r="Z232" s="12"/>
      <c r="AA232" s="278"/>
      <c r="AB232" s="5"/>
      <c r="AC232" s="58"/>
      <c r="AE232" s="12"/>
      <c r="AF232" s="3"/>
      <c r="AG232" s="181"/>
      <c r="AH232" s="3"/>
      <c r="AI232" s="30"/>
    </row>
    <row r="233" spans="1:35">
      <c r="A233" s="2"/>
      <c r="B233" s="178"/>
      <c r="C233" s="17"/>
      <c r="D233" s="283"/>
      <c r="E233" s="283"/>
      <c r="F233" s="146"/>
      <c r="G233" s="12"/>
      <c r="H233" s="301" t="s">
        <v>202</v>
      </c>
      <c r="I233" s="302"/>
      <c r="J233" s="303"/>
      <c r="K233" s="304"/>
      <c r="L233" s="305">
        <f>+P231/G231-1</f>
        <v>0.73201645611557908</v>
      </c>
      <c r="M233" s="3"/>
      <c r="N233" s="181"/>
      <c r="O233" s="181"/>
      <c r="P233" s="30"/>
      <c r="Q233" s="8"/>
      <c r="U233" s="293" t="s">
        <v>181</v>
      </c>
      <c r="V233" s="184"/>
      <c r="W233" s="184"/>
      <c r="X233" s="184"/>
      <c r="Y233" s="119"/>
      <c r="Z233" s="12"/>
      <c r="AA233" s="301" t="s">
        <v>202</v>
      </c>
      <c r="AB233" s="302"/>
      <c r="AC233" s="303"/>
      <c r="AD233" s="304"/>
      <c r="AE233" s="305">
        <v>0.55261747393190275</v>
      </c>
      <c r="AF233" s="3"/>
      <c r="AG233" s="181"/>
      <c r="AH233" s="181"/>
      <c r="AI233" s="30"/>
    </row>
    <row r="234" spans="1:35">
      <c r="A234" s="2"/>
      <c r="B234" s="178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81"/>
      <c r="P234" s="30"/>
      <c r="Q234" s="8"/>
      <c r="U234" s="178"/>
      <c r="V234" s="17"/>
      <c r="W234" s="17"/>
      <c r="X234" s="17"/>
      <c r="Y234" s="21"/>
      <c r="Z234" s="12"/>
      <c r="AA234" s="344"/>
      <c r="AB234" s="345"/>
      <c r="AC234" s="346"/>
      <c r="AD234" s="347"/>
      <c r="AE234" s="348"/>
      <c r="AF234" s="3"/>
      <c r="AG234" s="181"/>
      <c r="AH234" s="181"/>
      <c r="AI234" s="30"/>
    </row>
    <row r="235" spans="1:35">
      <c r="A235" s="2"/>
      <c r="B235" s="178" t="s">
        <v>269</v>
      </c>
      <c r="C235" s="17"/>
      <c r="D235" s="283"/>
      <c r="E235" s="283"/>
      <c r="G235" s="12"/>
      <c r="H235" s="278"/>
      <c r="I235" s="5"/>
      <c r="J235" s="58"/>
      <c r="L235" s="349">
        <v>26041.000723182617</v>
      </c>
      <c r="M235" s="3"/>
      <c r="N235" s="181" t="s">
        <v>270</v>
      </c>
      <c r="O235" s="3"/>
      <c r="P235" s="30"/>
      <c r="Q235" s="8"/>
      <c r="U235" s="178"/>
      <c r="V235" s="17"/>
      <c r="W235" s="283"/>
      <c r="X235" s="283"/>
      <c r="Y235" s="146"/>
    </row>
    <row r="236" spans="1:35">
      <c r="A236" s="2"/>
      <c r="B236" s="178"/>
      <c r="C236" s="17"/>
      <c r="D236" s="283"/>
      <c r="E236" s="283"/>
      <c r="G236" s="12"/>
      <c r="H236" s="278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283"/>
      <c r="X236" s="283"/>
      <c r="Y236" s="146"/>
    </row>
    <row r="237" spans="1:35">
      <c r="A237" s="9"/>
      <c r="B237" s="18"/>
      <c r="C237" s="18"/>
      <c r="D237" s="300"/>
      <c r="E237" s="300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9"/>
    </row>
    <row r="238" spans="1:35">
      <c r="C238"/>
      <c r="D238"/>
      <c r="E238"/>
      <c r="F238"/>
      <c r="G238"/>
      <c r="H238"/>
      <c r="I238"/>
      <c r="J238"/>
      <c r="K238"/>
      <c r="L238"/>
      <c r="M238"/>
      <c r="N238" s="21"/>
      <c r="O238" s="21"/>
      <c r="P238" s="21"/>
      <c r="Q238" s="21"/>
    </row>
    <row r="239" spans="1:35">
      <c r="C239"/>
      <c r="D239"/>
      <c r="E239"/>
      <c r="F239"/>
      <c r="G239"/>
      <c r="H239"/>
      <c r="I239"/>
      <c r="J239"/>
      <c r="K239"/>
      <c r="L239"/>
      <c r="M239"/>
    </row>
    <row r="240" spans="1:35">
      <c r="C240"/>
      <c r="D240"/>
      <c r="E240"/>
      <c r="F240"/>
      <c r="G240"/>
      <c r="H240"/>
      <c r="I240"/>
      <c r="J240"/>
      <c r="K240"/>
      <c r="L240"/>
      <c r="M240"/>
    </row>
    <row r="241" spans="2:13">
      <c r="B241" s="68" t="s">
        <v>788</v>
      </c>
      <c r="C241" s="20"/>
      <c r="D241" s="20"/>
      <c r="E241" s="26" t="s">
        <v>1</v>
      </c>
      <c r="F241" s="28"/>
      <c r="G241" s="27"/>
      <c r="H241" s="28"/>
      <c r="I241"/>
      <c r="J241"/>
      <c r="K241"/>
      <c r="L241"/>
      <c r="M241"/>
    </row>
    <row r="242" spans="2:13">
      <c r="B242" s="36" t="s">
        <v>2</v>
      </c>
      <c r="C242" s="37" t="s">
        <v>3</v>
      </c>
      <c r="D242" s="37" t="s">
        <v>4</v>
      </c>
      <c r="E242" s="36" t="s">
        <v>5</v>
      </c>
      <c r="F242" s="67" t="s">
        <v>790</v>
      </c>
      <c r="G242" s="40" t="s">
        <v>791</v>
      </c>
      <c r="H242" s="40" t="s">
        <v>791</v>
      </c>
      <c r="I242" s="40" t="s">
        <v>792</v>
      </c>
      <c r="J242"/>
      <c r="K242"/>
      <c r="L242"/>
      <c r="M242"/>
    </row>
    <row r="243" spans="2:13">
      <c r="B243" s="188"/>
      <c r="C243" s="800"/>
      <c r="D243" s="800"/>
      <c r="E243" s="188"/>
      <c r="F243" s="235" t="s">
        <v>20</v>
      </c>
      <c r="G243" s="235" t="s">
        <v>36</v>
      </c>
      <c r="H243" s="235" t="s">
        <v>20</v>
      </c>
      <c r="I243" s="235" t="s">
        <v>20</v>
      </c>
      <c r="J243"/>
      <c r="K243"/>
      <c r="L243"/>
      <c r="M243"/>
    </row>
    <row r="244" spans="2:13">
      <c r="B244" s="53" t="s">
        <v>9</v>
      </c>
      <c r="C244" s="232" t="s">
        <v>17</v>
      </c>
      <c r="D244" s="53" t="s">
        <v>789</v>
      </c>
      <c r="E244" s="801">
        <v>38657</v>
      </c>
      <c r="F244" s="56">
        <v>419</v>
      </c>
      <c r="G244" s="802">
        <v>0.18</v>
      </c>
      <c r="H244" s="30">
        <f>+I244-F244</f>
        <v>91.975609756097526</v>
      </c>
      <c r="I244" s="30">
        <f>+F244/(1-G244)</f>
        <v>510.97560975609753</v>
      </c>
      <c r="J244"/>
      <c r="K244"/>
      <c r="L244"/>
      <c r="M244"/>
    </row>
    <row r="245" spans="2:13">
      <c r="B245" s="53" t="s">
        <v>9</v>
      </c>
      <c r="C245" s="232" t="s">
        <v>17</v>
      </c>
      <c r="D245" s="53" t="s">
        <v>789</v>
      </c>
      <c r="E245" s="801">
        <v>38838</v>
      </c>
      <c r="F245" s="56">
        <v>679</v>
      </c>
      <c r="G245" s="802">
        <v>0.18</v>
      </c>
      <c r="H245" s="30">
        <f t="shared" ref="H245:H249" si="161">+I245-F245</f>
        <v>149.04878048780483</v>
      </c>
      <c r="I245" s="30">
        <f t="shared" ref="I245:I249" si="162">+F245/(1-G245)</f>
        <v>828.04878048780483</v>
      </c>
      <c r="J245"/>
      <c r="K245"/>
      <c r="L245"/>
      <c r="M245"/>
    </row>
    <row r="246" spans="2:13">
      <c r="B246" s="53" t="s">
        <v>9</v>
      </c>
      <c r="C246" s="232" t="s">
        <v>17</v>
      </c>
      <c r="D246" s="53" t="s">
        <v>789</v>
      </c>
      <c r="E246" s="801">
        <v>39022</v>
      </c>
      <c r="F246" s="56">
        <v>1619</v>
      </c>
      <c r="G246" s="802">
        <v>0.18</v>
      </c>
      <c r="H246" s="30">
        <f t="shared" si="161"/>
        <v>355.3902439024389</v>
      </c>
      <c r="I246" s="30">
        <f t="shared" si="162"/>
        <v>1974.3902439024389</v>
      </c>
      <c r="J246"/>
      <c r="K246"/>
      <c r="L246"/>
      <c r="M246"/>
    </row>
    <row r="247" spans="2:13">
      <c r="B247" s="53" t="s">
        <v>9</v>
      </c>
      <c r="C247" s="232" t="s">
        <v>17</v>
      </c>
      <c r="D247" s="53" t="s">
        <v>789</v>
      </c>
      <c r="E247" s="801">
        <v>39203</v>
      </c>
      <c r="F247" s="56">
        <v>1071</v>
      </c>
      <c r="G247" s="802">
        <v>0.18</v>
      </c>
      <c r="H247" s="30">
        <f t="shared" si="161"/>
        <v>235.09756097560967</v>
      </c>
      <c r="I247" s="30">
        <f t="shared" si="162"/>
        <v>1306.0975609756097</v>
      </c>
      <c r="J247"/>
      <c r="K247"/>
      <c r="L247"/>
      <c r="M247"/>
    </row>
    <row r="248" spans="2:13">
      <c r="B248" s="53" t="s">
        <v>9</v>
      </c>
      <c r="C248" s="232" t="s">
        <v>17</v>
      </c>
      <c r="D248" s="53" t="s">
        <v>789</v>
      </c>
      <c r="E248" s="801">
        <v>40299</v>
      </c>
      <c r="F248" s="56">
        <v>2441</v>
      </c>
      <c r="G248" s="802">
        <v>0.19</v>
      </c>
      <c r="H248" s="30">
        <f t="shared" si="161"/>
        <v>572.58024691358014</v>
      </c>
      <c r="I248" s="30">
        <f t="shared" si="162"/>
        <v>3013.5802469135801</v>
      </c>
      <c r="J248"/>
      <c r="K248"/>
      <c r="L248"/>
      <c r="M248"/>
    </row>
    <row r="249" spans="2:13">
      <c r="B249" s="53" t="s">
        <v>9</v>
      </c>
      <c r="C249" s="232" t="s">
        <v>17</v>
      </c>
      <c r="D249" s="53" t="s">
        <v>789</v>
      </c>
      <c r="E249" s="801">
        <v>40483</v>
      </c>
      <c r="F249" s="56">
        <v>2703</v>
      </c>
      <c r="G249" s="802">
        <v>0.19</v>
      </c>
      <c r="H249" s="30">
        <f t="shared" si="161"/>
        <v>634.03703703703695</v>
      </c>
      <c r="I249" s="30">
        <f t="shared" si="162"/>
        <v>3337.037037037037</v>
      </c>
      <c r="J249"/>
      <c r="K249"/>
      <c r="L249"/>
      <c r="M249"/>
    </row>
    <row r="250" spans="2:13">
      <c r="B250" s="53"/>
      <c r="C250" s="232"/>
      <c r="D250" s="53"/>
      <c r="E250" s="801"/>
      <c r="F250"/>
      <c r="G250"/>
      <c r="H250"/>
      <c r="I250"/>
      <c r="J250"/>
      <c r="K250"/>
      <c r="L250"/>
      <c r="M250"/>
    </row>
    <row r="251" spans="2:13">
      <c r="B251" s="53"/>
      <c r="C251" s="232"/>
      <c r="D251" s="53"/>
      <c r="E251" s="801"/>
      <c r="F251"/>
      <c r="G251"/>
      <c r="H251"/>
      <c r="I251"/>
      <c r="J251"/>
      <c r="K251"/>
      <c r="L251"/>
      <c r="M251"/>
    </row>
    <row r="252" spans="2:13">
      <c r="B252" s="53" t="s">
        <v>9</v>
      </c>
      <c r="C252" s="232" t="s">
        <v>27</v>
      </c>
      <c r="D252" s="53" t="s">
        <v>789</v>
      </c>
      <c r="E252" s="801">
        <v>38718</v>
      </c>
      <c r="F252" s="56">
        <v>131.55000000000001</v>
      </c>
      <c r="G252" s="802">
        <v>0.18</v>
      </c>
      <c r="H252" s="30">
        <f t="shared" ref="H252:H261" si="163">+I252-F252</f>
        <v>28.876829268292681</v>
      </c>
      <c r="I252" s="30">
        <f t="shared" ref="I252" si="164">+F252/(1-G252)</f>
        <v>160.42682926829269</v>
      </c>
      <c r="J252"/>
      <c r="K252"/>
      <c r="L252"/>
      <c r="M252"/>
    </row>
    <row r="253" spans="2:13">
      <c r="B253" s="53" t="s">
        <v>9</v>
      </c>
      <c r="C253" s="232" t="s">
        <v>27</v>
      </c>
      <c r="D253" s="53" t="s">
        <v>789</v>
      </c>
      <c r="E253" s="801">
        <v>38808</v>
      </c>
      <c r="F253" s="56">
        <v>213.63</v>
      </c>
      <c r="G253" s="802">
        <v>0.18</v>
      </c>
      <c r="H253" s="30">
        <f t="shared" si="163"/>
        <v>46.894390243902421</v>
      </c>
      <c r="I253" s="30">
        <f t="shared" ref="I253:I261" si="165">+F253/(1-G253)</f>
        <v>260.52439024390242</v>
      </c>
      <c r="J253"/>
      <c r="K253"/>
      <c r="L253"/>
      <c r="M253"/>
    </row>
    <row r="254" spans="2:13">
      <c r="B254" s="53" t="s">
        <v>9</v>
      </c>
      <c r="C254" s="232" t="s">
        <v>27</v>
      </c>
      <c r="D254" s="53" t="s">
        <v>789</v>
      </c>
      <c r="E254" s="801">
        <v>38899</v>
      </c>
      <c r="F254" s="56">
        <v>151.19999999999999</v>
      </c>
      <c r="G254" s="802">
        <v>0.18</v>
      </c>
      <c r="H254" s="30">
        <f t="shared" si="163"/>
        <v>33.190243902439022</v>
      </c>
      <c r="I254" s="30">
        <f t="shared" si="165"/>
        <v>184.39024390243901</v>
      </c>
      <c r="J254"/>
      <c r="K254"/>
      <c r="L254"/>
      <c r="M254"/>
    </row>
    <row r="255" spans="2:13">
      <c r="B255" s="53" t="s">
        <v>9</v>
      </c>
      <c r="C255" s="232" t="s">
        <v>27</v>
      </c>
      <c r="D255" s="53" t="s">
        <v>789</v>
      </c>
      <c r="E255" s="801">
        <v>38991</v>
      </c>
      <c r="F255" s="56">
        <v>54.71</v>
      </c>
      <c r="G255" s="802">
        <v>0.18</v>
      </c>
      <c r="H255" s="30">
        <f t="shared" si="163"/>
        <v>12.00951219512195</v>
      </c>
      <c r="I255" s="30">
        <f t="shared" si="165"/>
        <v>66.719512195121951</v>
      </c>
      <c r="J255"/>
      <c r="K255"/>
      <c r="L255"/>
      <c r="M255"/>
    </row>
    <row r="256" spans="2:13">
      <c r="B256" s="53" t="s">
        <v>9</v>
      </c>
      <c r="C256" s="232" t="s">
        <v>27</v>
      </c>
      <c r="D256" s="53" t="s">
        <v>789</v>
      </c>
      <c r="E256" s="801">
        <v>39356</v>
      </c>
      <c r="F256" s="56">
        <v>191.93</v>
      </c>
      <c r="G256" s="802">
        <v>0.18</v>
      </c>
      <c r="H256" s="30">
        <f t="shared" si="163"/>
        <v>42.130975609756092</v>
      </c>
      <c r="I256" s="30">
        <f t="shared" si="165"/>
        <v>234.0609756097561</v>
      </c>
      <c r="J256"/>
      <c r="K256"/>
      <c r="L256"/>
      <c r="M256"/>
    </row>
    <row r="257" spans="2:13">
      <c r="B257" s="53" t="s">
        <v>9</v>
      </c>
      <c r="C257" s="232" t="s">
        <v>27</v>
      </c>
      <c r="D257" s="53" t="s">
        <v>789</v>
      </c>
      <c r="E257" s="801">
        <v>39448</v>
      </c>
      <c r="F257" s="56">
        <v>191.93</v>
      </c>
      <c r="G257" s="802">
        <v>0.18</v>
      </c>
      <c r="H257" s="30">
        <f t="shared" si="163"/>
        <v>42.130975609756092</v>
      </c>
      <c r="I257" s="30">
        <f t="shared" si="165"/>
        <v>234.0609756097561</v>
      </c>
      <c r="J257"/>
      <c r="K257"/>
      <c r="L257"/>
      <c r="M257"/>
    </row>
    <row r="258" spans="2:13">
      <c r="B258" s="53" t="s">
        <v>9</v>
      </c>
      <c r="C258" s="232" t="s">
        <v>27</v>
      </c>
      <c r="D258" s="53" t="s">
        <v>789</v>
      </c>
      <c r="E258" s="801">
        <v>39539</v>
      </c>
      <c r="F258" s="56">
        <v>146.47999999999999</v>
      </c>
      <c r="G258" s="802">
        <v>0.18</v>
      </c>
      <c r="H258" s="30">
        <f t="shared" si="163"/>
        <v>32.154146341463388</v>
      </c>
      <c r="I258" s="30">
        <f t="shared" si="165"/>
        <v>178.63414634146338</v>
      </c>
      <c r="J258"/>
      <c r="K258"/>
      <c r="L258"/>
      <c r="M258"/>
    </row>
    <row r="259" spans="2:13">
      <c r="B259" s="53" t="s">
        <v>9</v>
      </c>
      <c r="C259" s="232" t="s">
        <v>27</v>
      </c>
      <c r="D259" s="53" t="s">
        <v>789</v>
      </c>
      <c r="E259" s="801">
        <v>39630</v>
      </c>
      <c r="F259" s="56">
        <v>87.76</v>
      </c>
      <c r="G259" s="802">
        <v>0.18</v>
      </c>
      <c r="H259" s="30">
        <f t="shared" si="163"/>
        <v>19.264390243902426</v>
      </c>
      <c r="I259" s="30">
        <f t="shared" si="165"/>
        <v>107.02439024390243</v>
      </c>
      <c r="J259"/>
      <c r="K259"/>
      <c r="L259"/>
      <c r="M259"/>
    </row>
    <row r="260" spans="2:13">
      <c r="B260" s="53" t="s">
        <v>9</v>
      </c>
      <c r="C260" s="232" t="s">
        <v>27</v>
      </c>
      <c r="D260" s="53" t="s">
        <v>789</v>
      </c>
      <c r="E260" s="801">
        <v>39722</v>
      </c>
      <c r="F260" s="56">
        <v>87.76</v>
      </c>
      <c r="G260" s="802">
        <v>0.18</v>
      </c>
      <c r="H260" s="30">
        <f t="shared" si="163"/>
        <v>19.264390243902426</v>
      </c>
      <c r="I260" s="30">
        <f t="shared" si="165"/>
        <v>107.02439024390243</v>
      </c>
      <c r="J260"/>
      <c r="K260"/>
      <c r="L260"/>
      <c r="M260"/>
    </row>
    <row r="261" spans="2:13">
      <c r="B261" s="53" t="s">
        <v>9</v>
      </c>
      <c r="C261" s="232" t="s">
        <v>27</v>
      </c>
      <c r="D261" s="53" t="s">
        <v>789</v>
      </c>
      <c r="E261" s="801">
        <v>39814</v>
      </c>
      <c r="F261" s="56">
        <v>497.9</v>
      </c>
      <c r="G261" s="802">
        <v>0.19</v>
      </c>
      <c r="H261" s="30">
        <f t="shared" si="163"/>
        <v>116.79135802469136</v>
      </c>
      <c r="I261" s="30">
        <f t="shared" si="165"/>
        <v>614.69135802469134</v>
      </c>
      <c r="J261"/>
      <c r="K261"/>
      <c r="L261"/>
      <c r="M261"/>
    </row>
    <row r="262" spans="2:13">
      <c r="B262" s="53"/>
      <c r="C262" s="232"/>
      <c r="D262" s="53"/>
      <c r="E262" s="801"/>
      <c r="F262" s="56"/>
      <c r="G262" s="802"/>
      <c r="H262" s="30"/>
      <c r="I262" s="30"/>
      <c r="J262"/>
      <c r="K262"/>
      <c r="L262"/>
      <c r="M262"/>
    </row>
    <row r="263" spans="2:13">
      <c r="B263" s="53"/>
      <c r="C263" s="232"/>
      <c r="D263" s="53"/>
      <c r="E263" s="801"/>
      <c r="F263" s="56"/>
      <c r="G263" s="802"/>
      <c r="H263" s="30"/>
      <c r="I263" s="30"/>
      <c r="J263"/>
      <c r="K263"/>
      <c r="L263"/>
      <c r="M263"/>
    </row>
    <row r="264" spans="2:13">
      <c r="B264" s="53" t="s">
        <v>9</v>
      </c>
      <c r="C264" s="232" t="s">
        <v>28</v>
      </c>
      <c r="D264" s="53" t="s">
        <v>789</v>
      </c>
      <c r="E264" s="801">
        <v>38657</v>
      </c>
      <c r="F264" s="56">
        <v>315.45999999999998</v>
      </c>
      <c r="G264" s="802">
        <v>0.18</v>
      </c>
      <c r="H264" s="30">
        <f t="shared" ref="H264" si="166">+I264-F264</f>
        <v>69.247317073170677</v>
      </c>
      <c r="I264" s="30">
        <f t="shared" ref="I264" si="167">+F264/(1-G264)</f>
        <v>384.70731707317066</v>
      </c>
      <c r="J264"/>
      <c r="K264"/>
      <c r="L264"/>
      <c r="M264"/>
    </row>
    <row r="265" spans="2:13">
      <c r="B265" s="53" t="s">
        <v>9</v>
      </c>
      <c r="C265" s="232" t="s">
        <v>28</v>
      </c>
      <c r="D265" s="53" t="s">
        <v>789</v>
      </c>
      <c r="E265" s="801">
        <v>38749</v>
      </c>
      <c r="F265" s="56">
        <v>315.45999999999998</v>
      </c>
      <c r="G265" s="802">
        <v>0.18</v>
      </c>
      <c r="H265" s="30">
        <f t="shared" ref="H265:H277" si="168">+I265-F265</f>
        <v>69.247317073170677</v>
      </c>
      <c r="I265" s="30">
        <f t="shared" ref="I265:I277" si="169">+F265/(1-G265)</f>
        <v>384.70731707317066</v>
      </c>
      <c r="J265"/>
      <c r="K265"/>
      <c r="L265"/>
      <c r="M265"/>
    </row>
    <row r="266" spans="2:13">
      <c r="B266" s="53" t="s">
        <v>9</v>
      </c>
      <c r="C266" s="232" t="s">
        <v>28</v>
      </c>
      <c r="D266" s="53" t="s">
        <v>789</v>
      </c>
      <c r="E266" s="801">
        <v>38838</v>
      </c>
      <c r="F266" s="56">
        <v>268.83</v>
      </c>
      <c r="G266" s="802">
        <v>0.18</v>
      </c>
      <c r="H266" s="30">
        <f t="shared" si="168"/>
        <v>59.011463414634136</v>
      </c>
      <c r="I266" s="30">
        <f t="shared" si="169"/>
        <v>327.84146341463412</v>
      </c>
      <c r="J266"/>
      <c r="K266"/>
      <c r="L266"/>
      <c r="M266"/>
    </row>
    <row r="267" spans="2:13">
      <c r="B267" s="53" t="s">
        <v>9</v>
      </c>
      <c r="C267" s="232" t="s">
        <v>28</v>
      </c>
      <c r="D267" s="53" t="s">
        <v>789</v>
      </c>
      <c r="E267" s="801">
        <v>38930</v>
      </c>
      <c r="F267" s="56">
        <v>209.91</v>
      </c>
      <c r="G267" s="802">
        <v>0.18</v>
      </c>
      <c r="H267" s="30">
        <f t="shared" si="168"/>
        <v>46.077804878048767</v>
      </c>
      <c r="I267" s="30">
        <f t="shared" si="169"/>
        <v>255.98780487804876</v>
      </c>
      <c r="J267"/>
      <c r="K267"/>
      <c r="L267"/>
      <c r="M267"/>
    </row>
    <row r="268" spans="2:13">
      <c r="B268" s="53" t="s">
        <v>9</v>
      </c>
      <c r="C268" s="232" t="s">
        <v>28</v>
      </c>
      <c r="D268" s="53" t="s">
        <v>789</v>
      </c>
      <c r="E268" s="801">
        <v>39022</v>
      </c>
      <c r="F268" s="56">
        <v>208.52</v>
      </c>
      <c r="G268" s="802">
        <v>0.18</v>
      </c>
      <c r="H268" s="30">
        <f t="shared" si="168"/>
        <v>45.772682926829248</v>
      </c>
      <c r="I268" s="30">
        <f t="shared" si="169"/>
        <v>254.29268292682926</v>
      </c>
      <c r="J268"/>
      <c r="K268"/>
      <c r="L268"/>
      <c r="M268"/>
    </row>
    <row r="269" spans="2:13">
      <c r="B269" s="53" t="s">
        <v>9</v>
      </c>
      <c r="C269" s="232" t="s">
        <v>28</v>
      </c>
      <c r="D269" s="53" t="s">
        <v>789</v>
      </c>
      <c r="E269" s="801">
        <v>39114</v>
      </c>
      <c r="F269" s="56">
        <v>201.11</v>
      </c>
      <c r="G269" s="802">
        <v>0.18</v>
      </c>
      <c r="H269" s="30">
        <f t="shared" si="168"/>
        <v>44.146097560975591</v>
      </c>
      <c r="I269" s="30">
        <f t="shared" si="169"/>
        <v>245.2560975609756</v>
      </c>
      <c r="J269"/>
      <c r="K269"/>
      <c r="L269"/>
      <c r="M269"/>
    </row>
    <row r="270" spans="2:13">
      <c r="B270" s="53" t="s">
        <v>9</v>
      </c>
      <c r="C270" s="232" t="s">
        <v>28</v>
      </c>
      <c r="D270" s="53" t="s">
        <v>789</v>
      </c>
      <c r="E270" s="801">
        <v>39203</v>
      </c>
      <c r="F270" s="56">
        <v>377.29</v>
      </c>
      <c r="G270" s="802">
        <v>0.18</v>
      </c>
      <c r="H270" s="30">
        <f t="shared" si="168"/>
        <v>82.819756097560969</v>
      </c>
      <c r="I270" s="30">
        <f t="shared" si="169"/>
        <v>460.10975609756099</v>
      </c>
      <c r="J270"/>
      <c r="K270"/>
      <c r="L270"/>
      <c r="M270"/>
    </row>
    <row r="271" spans="2:13">
      <c r="B271" s="53" t="s">
        <v>9</v>
      </c>
      <c r="C271" s="232" t="s">
        <v>28</v>
      </c>
      <c r="D271" s="53" t="s">
        <v>789</v>
      </c>
      <c r="E271" s="801">
        <v>39295</v>
      </c>
      <c r="F271" s="56">
        <v>100.43</v>
      </c>
      <c r="G271" s="802">
        <v>0.18</v>
      </c>
      <c r="H271" s="30">
        <f t="shared" si="168"/>
        <v>22.045609756097548</v>
      </c>
      <c r="I271" s="30">
        <f t="shared" si="169"/>
        <v>122.47560975609755</v>
      </c>
      <c r="J271"/>
      <c r="K271"/>
      <c r="L271"/>
      <c r="M271"/>
    </row>
    <row r="272" spans="2:13">
      <c r="B272" s="53" t="s">
        <v>9</v>
      </c>
      <c r="C272" s="232" t="s">
        <v>28</v>
      </c>
      <c r="D272" s="53" t="s">
        <v>789</v>
      </c>
      <c r="E272" s="801">
        <v>39387</v>
      </c>
      <c r="F272" s="56">
        <v>100.43</v>
      </c>
      <c r="G272" s="802">
        <v>0.18</v>
      </c>
      <c r="H272" s="30">
        <f t="shared" si="168"/>
        <v>22.045609756097548</v>
      </c>
      <c r="I272" s="30">
        <f t="shared" si="169"/>
        <v>122.47560975609755</v>
      </c>
      <c r="J272"/>
      <c r="K272"/>
      <c r="L272"/>
      <c r="M272"/>
    </row>
    <row r="273" spans="2:19">
      <c r="B273" s="53" t="s">
        <v>9</v>
      </c>
      <c r="C273" s="232" t="s">
        <v>28</v>
      </c>
      <c r="D273" s="53" t="s">
        <v>789</v>
      </c>
      <c r="E273" s="801">
        <v>39479</v>
      </c>
      <c r="F273" s="56">
        <v>148.82</v>
      </c>
      <c r="G273" s="802">
        <v>0.18</v>
      </c>
      <c r="H273" s="30">
        <f t="shared" si="168"/>
        <v>32.66780487804877</v>
      </c>
      <c r="I273" s="30">
        <f t="shared" si="169"/>
        <v>181.48780487804876</v>
      </c>
      <c r="J273"/>
      <c r="K273"/>
      <c r="L273"/>
      <c r="M273"/>
    </row>
    <row r="274" spans="2:19">
      <c r="B274" s="53" t="s">
        <v>9</v>
      </c>
      <c r="C274" s="232" t="s">
        <v>28</v>
      </c>
      <c r="D274" s="53" t="s">
        <v>789</v>
      </c>
      <c r="E274" s="801">
        <v>39569</v>
      </c>
      <c r="F274" s="56">
        <v>109.59</v>
      </c>
      <c r="G274" s="802">
        <v>0.18</v>
      </c>
      <c r="H274" s="30">
        <f t="shared" si="168"/>
        <v>24.056341463414611</v>
      </c>
      <c r="I274" s="30">
        <f t="shared" si="169"/>
        <v>133.64634146341461</v>
      </c>
    </row>
    <row r="275" spans="2:19">
      <c r="B275" s="53" t="s">
        <v>9</v>
      </c>
      <c r="C275" s="232" t="s">
        <v>28</v>
      </c>
      <c r="D275" s="53" t="s">
        <v>789</v>
      </c>
      <c r="E275" s="801">
        <v>39661</v>
      </c>
      <c r="F275" s="56">
        <v>51.84</v>
      </c>
      <c r="G275" s="802">
        <v>0.18</v>
      </c>
      <c r="H275" s="30">
        <f t="shared" si="168"/>
        <v>11.379512195121947</v>
      </c>
      <c r="I275" s="30">
        <f t="shared" si="169"/>
        <v>63.219512195121951</v>
      </c>
    </row>
    <row r="276" spans="2:19">
      <c r="B276" s="53" t="s">
        <v>9</v>
      </c>
      <c r="C276" s="232" t="s">
        <v>28</v>
      </c>
      <c r="D276" s="53" t="s">
        <v>789</v>
      </c>
      <c r="E276" s="801">
        <v>39845</v>
      </c>
      <c r="F276" s="56">
        <v>502.59</v>
      </c>
      <c r="G276" s="802">
        <v>0.19</v>
      </c>
      <c r="H276" s="30">
        <f t="shared" si="168"/>
        <v>117.89148148148143</v>
      </c>
      <c r="I276" s="30">
        <f t="shared" si="169"/>
        <v>620.48148148148141</v>
      </c>
    </row>
    <row r="277" spans="2:19">
      <c r="B277" s="53" t="s">
        <v>9</v>
      </c>
      <c r="C277" s="232" t="s">
        <v>28</v>
      </c>
      <c r="D277" s="53" t="s">
        <v>789</v>
      </c>
      <c r="E277" s="801">
        <v>40391</v>
      </c>
      <c r="F277" s="56">
        <v>130.03</v>
      </c>
      <c r="G277" s="802">
        <v>0.19</v>
      </c>
      <c r="H277" s="30">
        <f t="shared" si="168"/>
        <v>30.500864197530859</v>
      </c>
      <c r="I277" s="30">
        <f t="shared" si="169"/>
        <v>160.53086419753086</v>
      </c>
    </row>
    <row r="278" spans="2:19">
      <c r="B278" s="53"/>
      <c r="C278" s="232"/>
      <c r="D278" s="53"/>
      <c r="E278" s="801"/>
      <c r="F278" s="56"/>
      <c r="G278" s="802"/>
      <c r="H278" s="30"/>
      <c r="I278" s="30"/>
    </row>
    <row r="279" spans="2:19">
      <c r="B279" s="53"/>
      <c r="C279" s="232"/>
      <c r="D279" s="53"/>
      <c r="E279" s="801"/>
      <c r="F279" s="56"/>
      <c r="G279" s="802"/>
      <c r="H279" s="30"/>
      <c r="I279" s="30"/>
    </row>
    <row r="280" spans="2:19">
      <c r="B280" s="53" t="s">
        <v>9</v>
      </c>
      <c r="C280" s="232" t="s">
        <v>349</v>
      </c>
      <c r="D280" s="53" t="s">
        <v>789</v>
      </c>
      <c r="E280" s="801">
        <v>39934</v>
      </c>
      <c r="F280" s="56">
        <v>360</v>
      </c>
      <c r="G280" s="802">
        <v>0.19</v>
      </c>
      <c r="H280" s="30">
        <f t="shared" ref="H280:H282" si="170">+I280-F280</f>
        <v>84.4444444444444</v>
      </c>
      <c r="I280" s="30">
        <f t="shared" ref="I280:I282" si="171">+F280/(1-G280)</f>
        <v>444.4444444444444</v>
      </c>
    </row>
    <row r="281" spans="2:19">
      <c r="B281" s="53" t="s">
        <v>9</v>
      </c>
      <c r="C281" s="232" t="s">
        <v>349</v>
      </c>
      <c r="D281" s="53" t="s">
        <v>789</v>
      </c>
      <c r="E281" s="801">
        <v>40118</v>
      </c>
      <c r="F281" s="56">
        <v>825</v>
      </c>
      <c r="G281" s="802">
        <v>0.19</v>
      </c>
      <c r="H281" s="30">
        <f t="shared" si="170"/>
        <v>193.51851851851848</v>
      </c>
      <c r="I281" s="30">
        <f t="shared" si="171"/>
        <v>1018.5185185185185</v>
      </c>
      <c r="S281" s="1"/>
    </row>
    <row r="282" spans="2:19">
      <c r="B282" s="53" t="s">
        <v>9</v>
      </c>
      <c r="C282" s="232" t="s">
        <v>349</v>
      </c>
      <c r="D282" s="53" t="s">
        <v>789</v>
      </c>
      <c r="E282" s="801">
        <v>40299</v>
      </c>
      <c r="F282" s="56">
        <v>960</v>
      </c>
      <c r="G282" s="802">
        <v>0.19</v>
      </c>
      <c r="H282" s="30">
        <f t="shared" si="170"/>
        <v>225.18518518518522</v>
      </c>
      <c r="I282" s="30">
        <f t="shared" si="171"/>
        <v>1185.1851851851852</v>
      </c>
    </row>
    <row r="283" spans="2:19">
      <c r="B283" s="53"/>
      <c r="C283" s="232"/>
      <c r="D283" s="53"/>
      <c r="E283" s="801"/>
      <c r="F283" s="56"/>
      <c r="G283" s="802"/>
      <c r="H283" s="30"/>
      <c r="I283" s="30"/>
    </row>
    <row r="284" spans="2:19">
      <c r="B284" s="53"/>
      <c r="C284" s="232"/>
      <c r="D284" s="53"/>
      <c r="E284" s="801"/>
      <c r="F284" s="56"/>
      <c r="G284" s="802"/>
      <c r="H284" s="30"/>
      <c r="I284" s="30"/>
    </row>
    <row r="285" spans="2:19">
      <c r="B285" s="53"/>
      <c r="C285" s="232"/>
      <c r="D285" s="53"/>
      <c r="E285" s="801"/>
      <c r="F285" s="56"/>
      <c r="G285" s="802"/>
      <c r="H285" s="30"/>
      <c r="I285" s="30"/>
      <c r="J285" s="419"/>
      <c r="K285" s="417"/>
    </row>
    <row r="286" spans="2:19">
      <c r="D286" s="414"/>
      <c r="E286" s="415"/>
      <c r="F286" s="416"/>
      <c r="G286" s="420"/>
      <c r="H286" s="417"/>
      <c r="I286" s="418"/>
      <c r="J286" s="419"/>
      <c r="K286" s="417"/>
    </row>
  </sheetData>
  <phoneticPr fontId="0" type="noConversion"/>
  <conditionalFormatting sqref="E105:E107 E109:E118 E120:E142 E144:E153 E155:E180 E182:E194 E8:E41">
    <cfRule type="expression" dxfId="6" priority="7" stopIfTrue="1">
      <formula>(E8+365)&lt;TODAY()</formula>
    </cfRule>
  </conditionalFormatting>
  <conditionalFormatting sqref="M129:M142 M144:M153 M155:M180 M182:M194 M10:M41">
    <cfRule type="cellIs" dxfId="5" priority="8" stopIfTrue="1" operator="lessThan">
      <formula>0</formula>
    </cfRule>
    <cfRule type="cellIs" dxfId="4" priority="9" stopIfTrue="1" operator="greaterThanOrEqual">
      <formula>0</formula>
    </cfRule>
  </conditionalFormatting>
  <conditionalFormatting sqref="E11">
    <cfRule type="expression" dxfId="3" priority="3" stopIfTrue="1">
      <formula>(E11+365)&lt;TODAY()</formula>
    </cfRule>
  </conditionalFormatting>
  <conditionalFormatting sqref="M11">
    <cfRule type="cellIs" dxfId="2" priority="1" stopIfTrue="1" operator="lessThan">
      <formula>0</formula>
    </cfRule>
    <cfRule type="cellIs" dxfId="1" priority="2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32"/>
  <sheetViews>
    <sheetView zoomScale="70" zoomScaleNormal="70" workbookViewId="0">
      <selection activeCell="D4" sqref="D4"/>
    </sheetView>
  </sheetViews>
  <sheetFormatPr baseColWidth="10" defaultRowHeight="12.75"/>
  <cols>
    <col min="7" max="7" width="33.140625" customWidth="1"/>
  </cols>
  <sheetData>
    <row r="4" spans="2:8">
      <c r="B4" s="132" t="s">
        <v>620</v>
      </c>
      <c r="C4" s="133"/>
      <c r="D4" s="617">
        <v>3000</v>
      </c>
    </row>
    <row r="5" spans="2:8">
      <c r="B5" s="150" t="s">
        <v>619</v>
      </c>
      <c r="C5" s="401"/>
      <c r="D5" s="618">
        <f>37600-12500</f>
        <v>25100</v>
      </c>
    </row>
    <row r="6" spans="2:8">
      <c r="B6" s="150" t="s">
        <v>618</v>
      </c>
      <c r="C6" s="401" t="s">
        <v>612</v>
      </c>
      <c r="D6" s="618">
        <v>15300</v>
      </c>
    </row>
    <row r="7" spans="2:8">
      <c r="B7" s="150" t="s">
        <v>618</v>
      </c>
      <c r="C7" s="401" t="s">
        <v>610</v>
      </c>
      <c r="D7" s="618">
        <v>15300</v>
      </c>
    </row>
    <row r="8" spans="2:8">
      <c r="B8" s="150" t="s">
        <v>618</v>
      </c>
      <c r="C8" s="401" t="s">
        <v>616</v>
      </c>
      <c r="D8" s="618">
        <v>15300</v>
      </c>
    </row>
    <row r="9" spans="2:8">
      <c r="B9" s="150" t="s">
        <v>618</v>
      </c>
      <c r="C9" s="401" t="s">
        <v>614</v>
      </c>
      <c r="D9" s="618">
        <v>15300</v>
      </c>
      <c r="H9">
        <f>217*30</f>
        <v>6510</v>
      </c>
    </row>
    <row r="10" spans="2:8">
      <c r="B10" s="150" t="s">
        <v>618</v>
      </c>
      <c r="C10" s="401" t="s">
        <v>617</v>
      </c>
      <c r="D10" s="618">
        <v>15300</v>
      </c>
    </row>
    <row r="11" spans="2:8">
      <c r="B11" s="150" t="s">
        <v>615</v>
      </c>
      <c r="C11" s="401" t="s">
        <v>616</v>
      </c>
      <c r="D11" s="618">
        <v>1600</v>
      </c>
    </row>
    <row r="12" spans="2:8">
      <c r="B12" s="150" t="s">
        <v>615</v>
      </c>
      <c r="C12" s="401" t="s">
        <v>614</v>
      </c>
      <c r="D12" s="618">
        <v>1600</v>
      </c>
    </row>
    <row r="13" spans="2:8">
      <c r="B13" s="150" t="s">
        <v>613</v>
      </c>
      <c r="C13" s="401" t="s">
        <v>612</v>
      </c>
      <c r="D13" s="618">
        <v>24000</v>
      </c>
    </row>
    <row r="14" spans="2:8">
      <c r="B14" s="150" t="s">
        <v>613</v>
      </c>
      <c r="C14" s="401" t="s">
        <v>610</v>
      </c>
      <c r="D14" s="618">
        <v>24000</v>
      </c>
    </row>
    <row r="15" spans="2:8">
      <c r="B15" s="150" t="s">
        <v>611</v>
      </c>
      <c r="C15" s="401" t="s">
        <v>612</v>
      </c>
      <c r="D15" s="618">
        <v>6000</v>
      </c>
    </row>
    <row r="16" spans="2:8">
      <c r="B16" s="150" t="s">
        <v>611</v>
      </c>
      <c r="C16" s="401" t="s">
        <v>610</v>
      </c>
      <c r="D16" s="618">
        <v>6000</v>
      </c>
    </row>
    <row r="17" spans="2:8">
      <c r="B17" s="150" t="s">
        <v>597</v>
      </c>
      <c r="C17" s="401"/>
      <c r="D17" s="618">
        <v>29000</v>
      </c>
    </row>
    <row r="18" spans="2:8">
      <c r="B18" s="151" t="s">
        <v>609</v>
      </c>
      <c r="C18" s="403"/>
      <c r="D18" s="619">
        <v>95000</v>
      </c>
      <c r="E18" s="649">
        <v>5.7000000000000002E-2</v>
      </c>
    </row>
    <row r="19" spans="2:8">
      <c r="D19" s="128"/>
    </row>
    <row r="20" spans="2:8">
      <c r="G20" s="610" t="s">
        <v>625</v>
      </c>
    </row>
    <row r="21" spans="2:8">
      <c r="B21" s="132" t="s">
        <v>620</v>
      </c>
      <c r="C21" s="133"/>
      <c r="D21" s="804">
        <f>+D4</f>
        <v>3000</v>
      </c>
      <c r="G21" s="421" t="s">
        <v>623</v>
      </c>
      <c r="H21" s="613">
        <f>+D21</f>
        <v>3000</v>
      </c>
    </row>
    <row r="22" spans="2:8">
      <c r="B22" s="150" t="s">
        <v>619</v>
      </c>
      <c r="C22" s="401"/>
      <c r="D22" s="614">
        <f>+D5</f>
        <v>25100</v>
      </c>
      <c r="G22" s="99" t="s">
        <v>621</v>
      </c>
      <c r="H22" s="614">
        <f>+D23+D24+D25+D26</f>
        <v>139700</v>
      </c>
    </row>
    <row r="23" spans="2:8">
      <c r="B23" s="150" t="s">
        <v>618</v>
      </c>
      <c r="C23" s="401"/>
      <c r="D23" s="614">
        <f>SUM(D6:D10)</f>
        <v>76500</v>
      </c>
      <c r="G23" s="99" t="s">
        <v>320</v>
      </c>
      <c r="H23" s="614">
        <f>+D28</f>
        <v>95000</v>
      </c>
    </row>
    <row r="24" spans="2:8">
      <c r="B24" s="150" t="s">
        <v>615</v>
      </c>
      <c r="C24" s="401"/>
      <c r="D24" s="614">
        <f>SUM(D11:D12)</f>
        <v>3200</v>
      </c>
      <c r="G24" s="99" t="s">
        <v>622</v>
      </c>
      <c r="H24" s="614">
        <f>+D22</f>
        <v>25100</v>
      </c>
    </row>
    <row r="25" spans="2:8">
      <c r="B25" s="150" t="s">
        <v>613</v>
      </c>
      <c r="C25" s="401"/>
      <c r="D25" s="614">
        <f>SUM(D13:D14)</f>
        <v>48000</v>
      </c>
      <c r="G25" s="110" t="s">
        <v>624</v>
      </c>
      <c r="H25" s="614">
        <f>+D27</f>
        <v>29000</v>
      </c>
    </row>
    <row r="26" spans="2:8">
      <c r="B26" s="150" t="s">
        <v>611</v>
      </c>
      <c r="C26" s="401"/>
      <c r="D26" s="614">
        <f>SUM(D15:D16)</f>
        <v>12000</v>
      </c>
      <c r="G26" s="611" t="s">
        <v>18</v>
      </c>
      <c r="H26" s="612">
        <f>SUM(H21:H25)</f>
        <v>291800</v>
      </c>
    </row>
    <row r="27" spans="2:8">
      <c r="B27" s="150" t="s">
        <v>597</v>
      </c>
      <c r="C27" s="401"/>
      <c r="D27" s="614">
        <f>+D17</f>
        <v>29000</v>
      </c>
    </row>
    <row r="28" spans="2:8">
      <c r="B28" s="151" t="s">
        <v>609</v>
      </c>
      <c r="C28" s="403"/>
      <c r="D28" s="144">
        <f>+D18</f>
        <v>95000</v>
      </c>
    </row>
    <row r="29" spans="2:8">
      <c r="B29" s="615" t="s">
        <v>18</v>
      </c>
      <c r="C29" s="616"/>
      <c r="D29" s="612">
        <f>SUM(D21:D28)</f>
        <v>291800</v>
      </c>
    </row>
    <row r="32" spans="2:8">
      <c r="D32">
        <v>295626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40"/>
  <sheetViews>
    <sheetView showGridLines="0" topLeftCell="A111" workbookViewId="0">
      <selection activeCell="H128" sqref="H12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7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7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42" t="s">
        <v>565</v>
      </c>
      <c r="J26" s="451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720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721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783</v>
      </c>
      <c r="F29" s="310">
        <v>32828</v>
      </c>
      <c r="G29" s="12"/>
      <c r="H29" s="1" t="s">
        <v>723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722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784</v>
      </c>
      <c r="C35" s="107">
        <f>+F29-C27</f>
        <v>2828</v>
      </c>
      <c r="D35" s="1" t="s">
        <v>25</v>
      </c>
      <c r="E35" s="797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7" t="s">
        <v>277</v>
      </c>
      <c r="C50" s="381"/>
      <c r="D50" s="378">
        <v>56560</v>
      </c>
      <c r="E50" s="1" t="s">
        <v>307</v>
      </c>
      <c r="F50" s="107"/>
      <c r="G50" s="107"/>
      <c r="H50" s="107"/>
    </row>
    <row r="51" spans="2:9" ht="13.5" hidden="1" thickBot="1">
      <c r="B51" s="379" t="s">
        <v>5</v>
      </c>
      <c r="C51" s="382"/>
      <c r="D51" s="380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+Acc!D56</f>
        <v>8.34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+Acc!D59</f>
        <v>18.100000000000001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7" t="s">
        <v>277</v>
      </c>
      <c r="C75" s="381"/>
      <c r="D75" s="378">
        <f>+C57*1.15</f>
        <v>57499.999999999993</v>
      </c>
    </row>
    <row r="76" spans="2:9" ht="13.5" hidden="1" thickBot="1">
      <c r="B76" s="379" t="s">
        <v>5</v>
      </c>
      <c r="C76" s="382"/>
      <c r="D76" s="380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8"/>
      <c r="D84" s="383"/>
      <c r="E84" s="387"/>
      <c r="F84" s="120"/>
      <c r="G84" s="390"/>
      <c r="H84" s="60"/>
      <c r="I84" s="247"/>
    </row>
    <row r="85" spans="2:9" hidden="1">
      <c r="B85" s="24"/>
      <c r="C85" s="385"/>
      <c r="D85" s="283"/>
      <c r="E85" s="386"/>
      <c r="F85" s="2"/>
      <c r="G85" s="391"/>
      <c r="H85" s="5"/>
      <c r="I85" s="248"/>
    </row>
    <row r="86" spans="2:9" hidden="1">
      <c r="B86" s="24"/>
      <c r="C86" s="385"/>
      <c r="D86" s="283"/>
      <c r="E86" s="386"/>
      <c r="F86" s="2"/>
      <c r="G86" s="391"/>
      <c r="H86" s="5"/>
      <c r="I86" s="248"/>
    </row>
    <row r="87" spans="2:9" hidden="1">
      <c r="B87" s="224"/>
      <c r="C87" s="389"/>
      <c r="D87" s="300"/>
      <c r="E87" s="216"/>
      <c r="F87" s="9"/>
      <c r="G87" s="392"/>
      <c r="H87" s="10"/>
      <c r="I87" s="384"/>
    </row>
    <row r="88" spans="2:9" hidden="1">
      <c r="B88" s="24"/>
      <c r="C88" s="385"/>
      <c r="D88" s="283"/>
      <c r="E88" s="386"/>
      <c r="F88" s="2"/>
      <c r="G88" s="391"/>
      <c r="H88" s="5"/>
      <c r="I88" s="248"/>
    </row>
    <row r="89" spans="2:9" hidden="1">
      <c r="B89" s="24" t="s">
        <v>295</v>
      </c>
      <c r="C89" s="385"/>
      <c r="D89" s="283"/>
      <c r="E89" s="386"/>
      <c r="F89" s="2"/>
      <c r="G89" s="391"/>
      <c r="H89" s="5"/>
      <c r="I89" s="248"/>
    </row>
    <row r="90" spans="2:9" hidden="1">
      <c r="B90" s="24"/>
      <c r="C90" s="385"/>
      <c r="D90" s="283"/>
      <c r="E90" s="386"/>
      <c r="F90" s="2"/>
      <c r="G90" s="391"/>
      <c r="H90" s="5"/>
      <c r="I90" s="248"/>
    </row>
    <row r="91" spans="2:9" hidden="1">
      <c r="B91" s="24"/>
      <c r="C91" s="385"/>
      <c r="D91" s="5"/>
      <c r="E91" s="386"/>
      <c r="F91" s="2"/>
      <c r="G91" s="55"/>
      <c r="H91" s="5"/>
      <c r="I91" s="248"/>
    </row>
    <row r="92" spans="2:9" hidden="1">
      <c r="B92" s="24"/>
      <c r="C92" s="385"/>
      <c r="D92" s="5"/>
      <c r="E92" s="386"/>
      <c r="F92" s="2"/>
      <c r="G92" s="55"/>
      <c r="H92" s="5"/>
      <c r="I92" s="248"/>
    </row>
    <row r="93" spans="2:9" hidden="1">
      <c r="B93" s="24"/>
      <c r="C93" s="385"/>
      <c r="D93" s="5"/>
      <c r="E93" s="386"/>
      <c r="F93" s="2"/>
      <c r="G93" s="55"/>
      <c r="H93" s="5"/>
      <c r="I93" s="248"/>
    </row>
    <row r="94" spans="2:9" hidden="1">
      <c r="B94" s="24"/>
      <c r="C94" s="385"/>
      <c r="D94" s="5"/>
      <c r="E94" s="386"/>
      <c r="F94" s="2"/>
      <c r="G94" s="55"/>
      <c r="H94" s="5"/>
      <c r="I94" s="248"/>
    </row>
    <row r="95" spans="2:9" hidden="1">
      <c r="B95" s="217" t="s">
        <v>299</v>
      </c>
      <c r="C95" s="120"/>
      <c r="D95" s="383">
        <f>SUMIF($E$84:$E$87,$E$95,D$84:D$87)</f>
        <v>0</v>
      </c>
      <c r="E95" s="387" t="s">
        <v>292</v>
      </c>
      <c r="F95" s="120"/>
      <c r="G95" s="383">
        <f>SUMIF($E$84:$E$87,$E$95,G$84:G$87)</f>
        <v>0</v>
      </c>
      <c r="H95" s="383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4">
        <f>+IF(D96=0,0,H96/D96)</f>
        <v>0</v>
      </c>
    </row>
    <row r="97" spans="2:14" hidden="1">
      <c r="B97" s="217" t="s">
        <v>298</v>
      </c>
      <c r="C97" s="120"/>
      <c r="D97" s="383">
        <f>SUMIF($E$88:$E$94,$E$97,D$88:D$94)</f>
        <v>0</v>
      </c>
      <c r="E97" s="387" t="s">
        <v>292</v>
      </c>
      <c r="F97" s="120"/>
      <c r="G97" s="383">
        <f>SUMIF($E$88:$E$94,$E$97,G$88:G$94)</f>
        <v>0</v>
      </c>
      <c r="H97" s="383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4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600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6" t="s">
        <v>36</v>
      </c>
    </row>
    <row r="103" spans="2:14" hidden="1">
      <c r="B103" s="104" t="s">
        <v>295</v>
      </c>
      <c r="C103" s="388">
        <v>39325</v>
      </c>
      <c r="D103" s="60">
        <v>36000</v>
      </c>
      <c r="E103" s="387" t="s">
        <v>9</v>
      </c>
      <c r="F103" s="56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5">
        <v>39445</v>
      </c>
      <c r="D104" s="5">
        <v>50000</v>
      </c>
      <c r="E104" s="386" t="s">
        <v>9</v>
      </c>
      <c r="F104" s="601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5">
        <v>39758</v>
      </c>
      <c r="D105" s="5">
        <v>70000</v>
      </c>
      <c r="E105" s="386" t="s">
        <v>9</v>
      </c>
      <c r="F105" s="601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5">
        <v>39232</v>
      </c>
      <c r="D106" s="5">
        <v>30000</v>
      </c>
      <c r="E106" s="386" t="s">
        <v>9</v>
      </c>
      <c r="F106" s="601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5">
        <v>39202</v>
      </c>
      <c r="D107" s="283">
        <v>30094</v>
      </c>
      <c r="E107" s="386" t="s">
        <v>9</v>
      </c>
      <c r="F107" s="601">
        <v>40309</v>
      </c>
      <c r="G107" s="391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5">
        <v>39171</v>
      </c>
      <c r="D108" s="283">
        <v>26200</v>
      </c>
      <c r="E108" s="386" t="s">
        <v>292</v>
      </c>
      <c r="F108" s="601">
        <v>40445</v>
      </c>
      <c r="G108" s="391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9"/>
      <c r="D109" s="10"/>
      <c r="E109" s="216"/>
      <c r="F109" s="562"/>
      <c r="G109" s="72"/>
      <c r="H109" s="10"/>
      <c r="I109" s="384"/>
    </row>
    <row r="110" spans="2:14" hidden="1"/>
    <row r="111" spans="2:14">
      <c r="B111" s="1" t="s">
        <v>384</v>
      </c>
      <c r="G111" s="12"/>
    </row>
    <row r="114" spans="2:11" s="438" customFormat="1" ht="25.5">
      <c r="B114" s="439" t="s">
        <v>347</v>
      </c>
      <c r="C114" s="440" t="s">
        <v>386</v>
      </c>
      <c r="D114" s="440"/>
      <c r="E114" s="440" t="s">
        <v>392</v>
      </c>
      <c r="F114" s="440" t="s">
        <v>396</v>
      </c>
      <c r="G114" s="440" t="s">
        <v>387</v>
      </c>
      <c r="H114" s="440" t="s">
        <v>259</v>
      </c>
      <c r="I114" s="440" t="s">
        <v>390</v>
      </c>
      <c r="J114" s="440" t="s">
        <v>388</v>
      </c>
      <c r="K114" s="441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786</v>
      </c>
    </row>
    <row r="129" spans="2:11">
      <c r="B129" s="1" t="s">
        <v>532</v>
      </c>
      <c r="G129" s="12"/>
    </row>
    <row r="132" spans="2:11" ht="25.5">
      <c r="B132" s="439" t="s">
        <v>347</v>
      </c>
      <c r="C132" s="440" t="s">
        <v>386</v>
      </c>
      <c r="D132" s="440"/>
      <c r="E132" s="440" t="s">
        <v>392</v>
      </c>
      <c r="F132" s="440" t="s">
        <v>396</v>
      </c>
      <c r="G132" s="440" t="s">
        <v>387</v>
      </c>
      <c r="H132" s="440" t="s">
        <v>259</v>
      </c>
      <c r="I132" s="440" t="s">
        <v>390</v>
      </c>
      <c r="J132" s="440" t="s">
        <v>388</v>
      </c>
      <c r="K132" s="441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40522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40522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6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6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6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6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6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6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6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6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6"/>
      <c r="D29" s="5">
        <v>300</v>
      </c>
      <c r="E29" s="6">
        <f t="shared" si="0"/>
        <v>12674</v>
      </c>
    </row>
    <row r="30" spans="2:8">
      <c r="B30" s="4" t="s">
        <v>376</v>
      </c>
      <c r="C30" s="396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6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6">
        <v>39986</v>
      </c>
      <c r="D32" s="5">
        <v>-2500</v>
      </c>
      <c r="E32" s="6">
        <f>+E31+D32</f>
        <v>8161</v>
      </c>
    </row>
    <row r="33" spans="2:7">
      <c r="B33" s="743" t="s">
        <v>541</v>
      </c>
      <c r="C33" s="744">
        <v>40021</v>
      </c>
      <c r="D33" s="745">
        <f>+F33*G33</f>
        <v>1831.5</v>
      </c>
      <c r="E33" s="746">
        <f>+E32+D33</f>
        <v>9992.5</v>
      </c>
      <c r="F33" s="437">
        <v>36630</v>
      </c>
      <c r="G33" s="176">
        <v>0.05</v>
      </c>
    </row>
    <row r="34" spans="2:7">
      <c r="B34" s="4" t="s">
        <v>455</v>
      </c>
      <c r="C34" s="396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6">
        <v>40353</v>
      </c>
      <c r="D35" s="5">
        <v>-2000</v>
      </c>
      <c r="E35" s="6">
        <f>+E34+D35</f>
        <v>4992.5</v>
      </c>
    </row>
    <row r="36" spans="2:7">
      <c r="B36" s="4" t="s">
        <v>674</v>
      </c>
      <c r="C36" s="396">
        <v>40385</v>
      </c>
      <c r="D36" s="5">
        <v>-2000</v>
      </c>
      <c r="E36" s="6">
        <f>+E35+D36</f>
        <v>2992.5</v>
      </c>
    </row>
    <row r="37" spans="2:7">
      <c r="B37" s="743" t="s">
        <v>541</v>
      </c>
      <c r="C37" s="744">
        <v>40386</v>
      </c>
      <c r="D37" s="745">
        <f>+F37*G37</f>
        <v>1580</v>
      </c>
      <c r="E37" s="746">
        <f t="shared" ref="E37:E38" si="1">+E36+D37</f>
        <v>4572.5</v>
      </c>
      <c r="F37" s="437">
        <v>31600</v>
      </c>
      <c r="G37" s="176">
        <v>0.05</v>
      </c>
    </row>
    <row r="38" spans="2:7">
      <c r="B38" s="4" t="s">
        <v>363</v>
      </c>
      <c r="C38" s="396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6">
        <v>40479</v>
      </c>
      <c r="D39" s="5">
        <v>-2000</v>
      </c>
      <c r="E39" s="6">
        <f>+E38+D39</f>
        <v>31156.5</v>
      </c>
    </row>
    <row r="40" spans="2:7">
      <c r="B40" s="4"/>
      <c r="C40" s="396"/>
      <c r="D40" s="5"/>
      <c r="E40" s="6"/>
    </row>
    <row r="41" spans="2:7">
      <c r="B41" s="4"/>
      <c r="C41" s="396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+E39</f>
        <v>31156.5</v>
      </c>
    </row>
    <row r="44" spans="2:7">
      <c r="B44" s="5"/>
      <c r="C44" s="5"/>
      <c r="D44" s="5"/>
      <c r="E44" s="5"/>
    </row>
    <row r="45" spans="2:7">
      <c r="B45" s="435" t="s">
        <v>377</v>
      </c>
      <c r="C45" s="436"/>
      <c r="D45" s="436"/>
      <c r="E45" s="437">
        <f>+E43+F16</f>
        <v>31156.5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CU66"/>
  <sheetViews>
    <sheetView showGridLines="0" tabSelected="1" topLeftCell="H1" zoomScale="80" workbookViewId="0">
      <pane xSplit="15840" topLeftCell="CS1" activePane="topRight"/>
      <selection activeCell="A5" sqref="A5:A10"/>
      <selection pane="topRight" activeCell="CU54" sqref="CU54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3" spans="1:99">
      <c r="C3" s="855">
        <v>2003</v>
      </c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7"/>
      <c r="AQ3" s="855">
        <v>2006</v>
      </c>
      <c r="AR3" s="856"/>
      <c r="AS3" s="856"/>
      <c r="AT3" s="856"/>
      <c r="AU3" s="856"/>
      <c r="AV3" s="856"/>
      <c r="AW3" s="856"/>
      <c r="AX3" s="856"/>
      <c r="AY3" s="856"/>
      <c r="AZ3" s="856"/>
      <c r="BA3" s="857"/>
      <c r="BB3" s="861">
        <v>2007</v>
      </c>
      <c r="BC3" s="861"/>
      <c r="BD3" s="861"/>
      <c r="BE3" s="861"/>
      <c r="BF3" s="861"/>
      <c r="BG3" s="861"/>
      <c r="BH3" s="861"/>
      <c r="BI3" s="861"/>
      <c r="BJ3" s="861"/>
      <c r="BK3" s="861"/>
      <c r="BL3" s="861"/>
      <c r="BM3" s="861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61">
        <v>2009</v>
      </c>
      <c r="BZ3" s="861"/>
      <c r="CA3" s="861"/>
      <c r="CB3" s="861"/>
      <c r="CC3" s="861"/>
      <c r="CD3" s="861"/>
      <c r="CE3" s="861"/>
      <c r="CF3" s="861"/>
      <c r="CG3" s="861"/>
      <c r="CH3" s="861"/>
      <c r="CI3" s="861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</row>
    <row r="4" spans="1:99">
      <c r="A4" s="104" t="s">
        <v>147</v>
      </c>
      <c r="C4" s="858">
        <v>37714</v>
      </c>
      <c r="D4" s="859">
        <v>37729</v>
      </c>
      <c r="E4" s="859">
        <v>37759</v>
      </c>
      <c r="F4" s="859">
        <v>37779</v>
      </c>
      <c r="G4" s="859">
        <v>37795</v>
      </c>
      <c r="H4" s="859">
        <v>37823</v>
      </c>
      <c r="I4" s="859">
        <v>37881</v>
      </c>
      <c r="J4" s="859">
        <v>37898</v>
      </c>
      <c r="K4" s="859">
        <v>37911</v>
      </c>
      <c r="L4" s="859">
        <v>37918</v>
      </c>
      <c r="M4" s="859">
        <v>37927</v>
      </c>
      <c r="N4" s="859">
        <v>37937</v>
      </c>
      <c r="O4" s="859">
        <v>37953</v>
      </c>
      <c r="P4" s="860">
        <v>37964</v>
      </c>
      <c r="Q4" s="190">
        <v>37974</v>
      </c>
      <c r="R4" s="190">
        <v>37995</v>
      </c>
      <c r="S4" s="190">
        <v>38017</v>
      </c>
      <c r="T4" s="190">
        <v>38024</v>
      </c>
      <c r="U4" s="190">
        <v>38044</v>
      </c>
      <c r="V4" s="190">
        <v>38061</v>
      </c>
      <c r="W4" s="190">
        <v>38074</v>
      </c>
      <c r="X4" s="190">
        <v>38089</v>
      </c>
      <c r="Y4" s="190">
        <v>38108</v>
      </c>
      <c r="Z4" s="190">
        <v>38122</v>
      </c>
      <c r="AA4" s="190">
        <v>38136</v>
      </c>
      <c r="AB4" s="190">
        <v>38145</v>
      </c>
      <c r="AC4" s="190">
        <v>38158</v>
      </c>
      <c r="AD4" s="190">
        <v>38176</v>
      </c>
      <c r="AE4" s="190">
        <v>38218</v>
      </c>
      <c r="AF4" s="190">
        <v>38242</v>
      </c>
      <c r="AG4" s="361">
        <v>38269</v>
      </c>
      <c r="AH4" s="430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58">
        <v>38719</v>
      </c>
      <c r="AR4" s="859">
        <v>38746</v>
      </c>
      <c r="AS4" s="859">
        <v>38771</v>
      </c>
      <c r="AT4" s="859">
        <v>38835</v>
      </c>
      <c r="AU4" s="859">
        <v>38878</v>
      </c>
      <c r="AV4" s="859">
        <v>38957</v>
      </c>
      <c r="AW4" s="859">
        <v>38988</v>
      </c>
      <c r="AX4" s="859">
        <v>38994</v>
      </c>
      <c r="AY4" s="859">
        <v>39002</v>
      </c>
      <c r="AZ4" s="859">
        <v>39033</v>
      </c>
      <c r="BA4" s="860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58">
        <v>39457</v>
      </c>
      <c r="BO4" s="859">
        <v>39488</v>
      </c>
      <c r="BP4" s="859">
        <v>39517</v>
      </c>
      <c r="BQ4" s="859">
        <v>39548</v>
      </c>
      <c r="BR4" s="859">
        <v>39578</v>
      </c>
      <c r="BS4" s="859">
        <v>39639</v>
      </c>
      <c r="BT4" s="859">
        <v>39670</v>
      </c>
      <c r="BU4" s="859">
        <v>39701</v>
      </c>
      <c r="BV4" s="859">
        <v>39731</v>
      </c>
      <c r="BW4" s="859">
        <v>39762</v>
      </c>
      <c r="BX4" s="860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58">
        <v>40188</v>
      </c>
      <c r="CK4" s="859">
        <v>40219</v>
      </c>
      <c r="CL4" s="859">
        <v>40247</v>
      </c>
      <c r="CM4" s="859">
        <v>40278</v>
      </c>
      <c r="CN4" s="859">
        <v>40308</v>
      </c>
      <c r="CO4" s="859">
        <v>40339</v>
      </c>
      <c r="CP4" s="859">
        <v>40369</v>
      </c>
      <c r="CQ4" s="859">
        <v>40400</v>
      </c>
      <c r="CR4" s="859">
        <v>40431</v>
      </c>
      <c r="CS4" s="859">
        <v>40461</v>
      </c>
      <c r="CT4" s="862">
        <v>40492</v>
      </c>
      <c r="CU4" s="863">
        <v>40522</v>
      </c>
    </row>
    <row r="5" spans="1:99">
      <c r="A5" s="191">
        <f>+Patr.!H8</f>
        <v>297400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2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5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50">
        <f>378800</f>
        <v>378800</v>
      </c>
      <c r="CU5" s="850">
        <v>297400</v>
      </c>
    </row>
    <row r="6" spans="1:99">
      <c r="A6" s="192">
        <f>+Patr.!H9</f>
        <v>193750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3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07">
        <v>192250</v>
      </c>
      <c r="CU6" s="850">
        <v>193750</v>
      </c>
    </row>
    <row r="7" spans="1:99">
      <c r="A7" s="192">
        <f>+Patr.!H10</f>
        <v>387859.11500000005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3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07">
        <v>333527.55500000005</v>
      </c>
      <c r="CU7" s="850">
        <v>387859.11500000005</v>
      </c>
    </row>
    <row r="8" spans="1:99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3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07">
        <v>0</v>
      </c>
      <c r="CU8" s="850">
        <v>0</v>
      </c>
    </row>
    <row r="9" spans="1:99">
      <c r="A9" s="193">
        <f>+Patr.!H12</f>
        <v>316716.44198219804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3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07">
        <v>308266.36898219807</v>
      </c>
      <c r="CU9" s="850">
        <v>316716.44198219804</v>
      </c>
    </row>
    <row r="10" spans="1:99">
      <c r="A10" s="194">
        <f>SUM(A5:A9)</f>
        <v>1195725.556982198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4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296">
        <v>798768.61993276142</v>
      </c>
      <c r="CJ10" s="197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09">
        <v>1212843.9239821981</v>
      </c>
      <c r="CU10" s="833">
        <v>1195725.556982198</v>
      </c>
    </row>
    <row r="11" spans="1:99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5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60">
        <f t="shared" si="6"/>
        <v>396956.93704943662</v>
      </c>
    </row>
    <row r="12" spans="1:99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5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806"/>
      <c r="CU12" s="811"/>
    </row>
    <row r="13" spans="1:99">
      <c r="A13" s="194">
        <f>+Acc!I43</f>
        <v>408052.88293023256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2">
        <v>128368.89880197223</v>
      </c>
      <c r="AH13" s="194">
        <v>115612.21572950466</v>
      </c>
      <c r="AI13" s="394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4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3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3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4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194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08">
        <v>336471.52593023254</v>
      </c>
      <c r="CU13" s="831">
        <v>408052.88293023256</v>
      </c>
    </row>
    <row r="14" spans="1:99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31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6">
        <f t="shared" si="7"/>
        <v>15387.039309534754</v>
      </c>
      <c r="AH14" s="431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31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23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23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31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431">
        <f t="shared" si="8"/>
        <v>19004.045151626691</v>
      </c>
      <c r="CJ14" s="209">
        <f t="shared" si="8"/>
        <v>13703.565151626754</v>
      </c>
      <c r="CK14" s="209">
        <f t="shared" si="8"/>
        <v>2600.4649999999674</v>
      </c>
      <c r="CL14" s="209">
        <f t="shared" si="8"/>
        <v>13487.729999999981</v>
      </c>
      <c r="CM14" s="209">
        <f t="shared" si="8"/>
        <v>19181.694999999978</v>
      </c>
      <c r="CN14" s="209">
        <f>+CN7-CN13</f>
        <v>5327.1899999999732</v>
      </c>
      <c r="CO14" s="209">
        <v>-6154.9459999999381</v>
      </c>
      <c r="CP14" s="209">
        <f>+CP7-CP13</f>
        <v>-10186.36599999998</v>
      </c>
      <c r="CQ14" s="209">
        <f>+CQ7-CQ13</f>
        <v>12578.744000000064</v>
      </c>
      <c r="CR14" s="209">
        <f>+CR7-CR13</f>
        <v>526.48499999998603</v>
      </c>
      <c r="CS14" s="209">
        <f>+CS7-CS13</f>
        <v>-13822.82500000007</v>
      </c>
      <c r="CT14" s="838">
        <f t="shared" ref="CT14:CU14" si="9">+CT7-CT13</f>
        <v>-2943.9709302324918</v>
      </c>
      <c r="CU14" s="838">
        <f t="shared" si="9"/>
        <v>-20193.767930232512</v>
      </c>
    </row>
    <row r="15" spans="1:99">
      <c r="A15" s="4"/>
      <c r="B15" s="199" t="s">
        <v>146</v>
      </c>
      <c r="C15" s="58">
        <f t="shared" ref="C15:P15" si="10">IF(C13=0,"",(C7-C13)/C13)</f>
        <v>-6.0832532745715658E-2</v>
      </c>
      <c r="D15" s="58">
        <f t="shared" si="10"/>
        <v>-0.11680667252046088</v>
      </c>
      <c r="E15" s="58">
        <f t="shared" si="10"/>
        <v>-4.091042688965605E-2</v>
      </c>
      <c r="F15" s="58">
        <f t="shared" si="10"/>
        <v>1.9499409066879161E-2</v>
      </c>
      <c r="G15" s="58">
        <f t="shared" si="10"/>
        <v>-6.1819681931369998E-3</v>
      </c>
      <c r="H15" s="58">
        <f t="shared" si="10"/>
        <v>-2.9300677459562118E-2</v>
      </c>
      <c r="I15" s="58">
        <f t="shared" si="10"/>
        <v>1.1375246512357801E-2</v>
      </c>
      <c r="J15" s="58">
        <f t="shared" si="10"/>
        <v>-1.1288394435022114E-2</v>
      </c>
      <c r="K15" s="58">
        <f t="shared" si="10"/>
        <v>-1.0402609132281197E-3</v>
      </c>
      <c r="L15" s="58">
        <f t="shared" si="10"/>
        <v>-1.2921240772975172E-2</v>
      </c>
      <c r="M15" s="58">
        <f t="shared" si="10"/>
        <v>4.3849750942778792E-2</v>
      </c>
      <c r="N15" s="58">
        <f t="shared" si="10"/>
        <v>6.6125779413614985E-2</v>
      </c>
      <c r="O15" s="58">
        <f t="shared" si="10"/>
        <v>5.9834653478596567E-2</v>
      </c>
      <c r="P15" s="7">
        <f t="shared" si="10"/>
        <v>8.7949108227675654E-2</v>
      </c>
      <c r="Q15" s="58">
        <f t="shared" ref="Q15:V15" si="11">IF(Q13=0,"",(Q7-Q13)/Q13)</f>
        <v>0.12218146088784884</v>
      </c>
      <c r="R15" s="58">
        <f t="shared" si="11"/>
        <v>0.16227787551469033</v>
      </c>
      <c r="S15" s="58">
        <f t="shared" si="11"/>
        <v>0.13561653559938186</v>
      </c>
      <c r="T15" s="58">
        <f t="shared" si="11"/>
        <v>0.11801595926315873</v>
      </c>
      <c r="U15" s="58">
        <f t="shared" si="11"/>
        <v>0.17490207248476847</v>
      </c>
      <c r="V15" s="58">
        <f t="shared" si="11"/>
        <v>5.8611300484367329E-2</v>
      </c>
      <c r="W15" s="58">
        <f t="shared" ref="W15:AB15" si="12">IF(W13=0,"",(W7-W13)/W13)</f>
        <v>0.10334416311225131</v>
      </c>
      <c r="X15" s="58">
        <f t="shared" si="12"/>
        <v>0.16050072024739148</v>
      </c>
      <c r="Y15" s="58">
        <f t="shared" si="12"/>
        <v>0.11277951344306214</v>
      </c>
      <c r="Z15" s="58">
        <f t="shared" si="12"/>
        <v>6.154748689804445E-2</v>
      </c>
      <c r="AA15" s="58">
        <f t="shared" si="12"/>
        <v>9.1479107228265147E-2</v>
      </c>
      <c r="AB15" s="58">
        <f t="shared" si="12"/>
        <v>0.11339772536993856</v>
      </c>
      <c r="AC15" s="58">
        <f t="shared" ref="AC15:AH15" si="13">IF(AC13=0,"",(AC7-AC13)/AC13)</f>
        <v>0.12953347869315873</v>
      </c>
      <c r="AD15" s="58">
        <f t="shared" si="13"/>
        <v>0.11048044607166414</v>
      </c>
      <c r="AE15" s="58">
        <f t="shared" si="13"/>
        <v>5.6453312450127885E-2</v>
      </c>
      <c r="AF15" s="58">
        <f t="shared" si="13"/>
        <v>0.10195580856138017</v>
      </c>
      <c r="AG15" s="367">
        <f t="shared" si="13"/>
        <v>0.11986578877856939</v>
      </c>
      <c r="AH15" s="7">
        <f t="shared" si="13"/>
        <v>0.15440422648864874</v>
      </c>
      <c r="AI15" s="58">
        <f t="shared" ref="AI15:AN15" si="14">IF(AI13=0,"",(AI7-AI13)/AI13)</f>
        <v>0.21500147467923367</v>
      </c>
      <c r="AJ15" s="58">
        <f t="shared" si="14"/>
        <v>0.22842988563785255</v>
      </c>
      <c r="AK15" s="58">
        <f t="shared" si="14"/>
        <v>0.14854806080698876</v>
      </c>
      <c r="AL15" s="58">
        <f t="shared" si="14"/>
        <v>0.20769748509326602</v>
      </c>
      <c r="AM15" s="58">
        <f t="shared" si="14"/>
        <v>0.24709392897282906</v>
      </c>
      <c r="AN15" s="58">
        <f t="shared" si="14"/>
        <v>0.32387671187344458</v>
      </c>
      <c r="AO15" s="58">
        <f t="shared" ref="AO15:AT15" si="15">IF(AO13=0,"",(AO7-AO13)/AO13)</f>
        <v>0.39926110947608379</v>
      </c>
      <c r="AP15" s="7">
        <f t="shared" si="15"/>
        <v>0.2967579681511931</v>
      </c>
      <c r="AQ15" s="58">
        <f t="shared" si="15"/>
        <v>0.31594464939281686</v>
      </c>
      <c r="AR15" s="58">
        <f t="shared" si="15"/>
        <v>0.32997118882665571</v>
      </c>
      <c r="AS15" s="58">
        <f t="shared" si="15"/>
        <v>0.43009091109572495</v>
      </c>
      <c r="AT15" s="58">
        <f t="shared" si="15"/>
        <v>0.40884536556395851</v>
      </c>
      <c r="AU15" s="58">
        <f t="shared" ref="AU15:AZ15" si="16">IF(AU13=0,"",(AU7-AU13)/AU13)</f>
        <v>0.36975478535689893</v>
      </c>
      <c r="AV15" s="58">
        <f t="shared" si="16"/>
        <v>0.35790772816886107</v>
      </c>
      <c r="AW15" s="58">
        <f t="shared" si="16"/>
        <v>0.4589226100945431</v>
      </c>
      <c r="AX15" s="58">
        <f t="shared" si="16"/>
        <v>0.34985211687817552</v>
      </c>
      <c r="AY15" s="58">
        <f t="shared" si="16"/>
        <v>0.35556241699975488</v>
      </c>
      <c r="AZ15" s="58">
        <f t="shared" si="16"/>
        <v>0.42752549689562774</v>
      </c>
      <c r="BA15" s="58">
        <f t="shared" ref="BA15:BF15" si="17">IF(BA13=0,"",(BA7-BA13)/BA13)</f>
        <v>0.46617249459024185</v>
      </c>
      <c r="BB15" s="424">
        <f t="shared" si="17"/>
        <v>0.54335383179352592</v>
      </c>
      <c r="BC15" s="58">
        <f t="shared" si="17"/>
        <v>0.56932573558625044</v>
      </c>
      <c r="BD15" s="58">
        <f t="shared" si="17"/>
        <v>0.36611670587650413</v>
      </c>
      <c r="BE15" s="58">
        <f t="shared" si="17"/>
        <v>0.43210369505727947</v>
      </c>
      <c r="BF15" s="58">
        <f t="shared" si="17"/>
        <v>0.44471437481716403</v>
      </c>
      <c r="BG15" s="58">
        <f t="shared" ref="BG15:BL15" si="18">IF(BG13=0,"",(BG7-BG13)/BG13)</f>
        <v>0.59467361930878337</v>
      </c>
      <c r="BH15" s="58">
        <f t="shared" si="18"/>
        <v>0.56333826626850425</v>
      </c>
      <c r="BI15" s="58">
        <f t="shared" si="18"/>
        <v>0.592429434875543</v>
      </c>
      <c r="BJ15" s="58">
        <f t="shared" si="18"/>
        <v>0.62860979887471602</v>
      </c>
      <c r="BK15" s="58">
        <f t="shared" si="18"/>
        <v>0.21468145783864906</v>
      </c>
      <c r="BL15" s="58">
        <f t="shared" si="18"/>
        <v>0.20943481334493974</v>
      </c>
      <c r="BM15" s="58">
        <f t="shared" ref="BM15:BR15" si="19">IF(BM13=0,"",(BM7-BM13)/BM13)</f>
        <v>0.2288425728184918</v>
      </c>
      <c r="BN15" s="424">
        <f t="shared" si="19"/>
        <v>0.20173260625833986</v>
      </c>
      <c r="BO15" s="58">
        <f t="shared" si="19"/>
        <v>-1.7833769879281459E-2</v>
      </c>
      <c r="BP15" s="58">
        <f t="shared" si="19"/>
        <v>-7.1937432424719783E-2</v>
      </c>
      <c r="BQ15" s="58">
        <f t="shared" si="19"/>
        <v>2.1776239020053273E-3</v>
      </c>
      <c r="BR15" s="58">
        <f t="shared" si="19"/>
        <v>3.3692382495188293E-2</v>
      </c>
      <c r="BS15" s="58">
        <f t="shared" ref="BS15:BX15" si="20">IF(BS13=0,"",(BS7-BS13)/BS13)</f>
        <v>-0.17071776482420378</v>
      </c>
      <c r="BT15" s="58">
        <f t="shared" si="20"/>
        <v>-0.17071776482420378</v>
      </c>
      <c r="BU15" s="58">
        <f t="shared" si="20"/>
        <v>-0.13137219559960631</v>
      </c>
      <c r="BV15" s="58">
        <f t="shared" si="20"/>
        <v>-0.34012185456986072</v>
      </c>
      <c r="BW15" s="58">
        <f t="shared" si="20"/>
        <v>6.1669059178747442E-4</v>
      </c>
      <c r="BX15" s="7">
        <f t="shared" si="20"/>
        <v>0.11585267371282035</v>
      </c>
      <c r="BY15" s="58">
        <f t="shared" ref="BY15:CD15" si="21">IF(BY13=0,"",(BY7-BY13)/BY13)</f>
        <v>0.2045060990651543</v>
      </c>
      <c r="BZ15" s="58">
        <f t="shared" si="21"/>
        <v>4.5880764577416661E-2</v>
      </c>
      <c r="CA15" s="58">
        <f t="shared" si="21"/>
        <v>-0.16278066447024483</v>
      </c>
      <c r="CB15" s="58">
        <f t="shared" si="21"/>
        <v>-4.7605179047150253E-2</v>
      </c>
      <c r="CC15" s="58">
        <f t="shared" si="21"/>
        <v>0.1281299983212493</v>
      </c>
      <c r="CD15" s="58">
        <f t="shared" si="21"/>
        <v>-2.872862864632875E-2</v>
      </c>
      <c r="CE15" s="58">
        <f t="shared" ref="CE15:CJ15" si="22">IF(CE13=0,"",(CE7-CE13)/CE13)</f>
        <v>6.0192341563357392E-2</v>
      </c>
      <c r="CF15" s="58">
        <f t="shared" si="22"/>
        <v>0.13805653727486425</v>
      </c>
      <c r="CG15" s="58">
        <f t="shared" si="22"/>
        <v>0.15736131627611435</v>
      </c>
      <c r="CH15" s="58">
        <f t="shared" si="22"/>
        <v>7.4350930930324022E-2</v>
      </c>
      <c r="CI15" s="7">
        <f t="shared" si="22"/>
        <v>0.12715285548715863</v>
      </c>
      <c r="CJ15" s="58">
        <f t="shared" si="22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  <c r="CS15" s="58">
        <f>IF(CS13=0,"",(CS7-CS13)/CS13)</f>
        <v>-4.2184701414334773E-2</v>
      </c>
      <c r="CT15" s="819">
        <f t="shared" ref="CT15:CU15" si="23">IF(CT13=0,"",(CT7-CT13)/CT13)</f>
        <v>-8.7495395697849473E-3</v>
      </c>
      <c r="CU15" s="819">
        <f t="shared" si="23"/>
        <v>-4.9488114837520143E-2</v>
      </c>
    </row>
    <row r="16" spans="1:99">
      <c r="A16" s="4"/>
      <c r="B16" s="198" t="s">
        <v>143</v>
      </c>
      <c r="C16" s="737"/>
      <c r="D16" s="737">
        <f>3052-530</f>
        <v>2522</v>
      </c>
      <c r="E16" s="737"/>
      <c r="F16" s="737"/>
      <c r="G16" s="737">
        <f>4094-558</f>
        <v>3536</v>
      </c>
      <c r="H16" s="737"/>
      <c r="I16" s="737"/>
      <c r="J16" s="737"/>
      <c r="K16" s="737"/>
      <c r="L16" s="737"/>
      <c r="M16" s="737"/>
      <c r="N16" s="737"/>
      <c r="O16" s="737"/>
      <c r="P16" s="738"/>
      <c r="Q16" s="737"/>
      <c r="R16" s="737"/>
      <c r="S16" s="737"/>
      <c r="T16" s="737"/>
      <c r="U16" s="737"/>
      <c r="V16" s="737"/>
      <c r="W16" s="737"/>
      <c r="X16" s="737"/>
      <c r="Y16" s="737"/>
      <c r="Z16" s="737"/>
      <c r="AA16" s="737"/>
      <c r="AB16" s="737"/>
      <c r="AC16" s="737"/>
      <c r="AD16" s="737"/>
      <c r="AE16" s="737">
        <v>1551.97</v>
      </c>
      <c r="AF16" s="737"/>
      <c r="AG16" s="739">
        <v>3234.49</v>
      </c>
      <c r="AH16" s="738">
        <v>3568</v>
      </c>
      <c r="AI16" s="737">
        <v>3596.9648571428575</v>
      </c>
      <c r="AJ16" s="737">
        <v>1268.48</v>
      </c>
      <c r="AK16" s="737">
        <v>0</v>
      </c>
      <c r="AL16" s="737">
        <v>0</v>
      </c>
      <c r="AM16" s="737">
        <v>0</v>
      </c>
      <c r="AN16" s="737">
        <v>1976.3751428571436</v>
      </c>
      <c r="AO16" s="737">
        <v>0</v>
      </c>
      <c r="AP16" s="738">
        <v>8429</v>
      </c>
      <c r="AQ16" s="737">
        <v>0</v>
      </c>
      <c r="AR16" s="737">
        <v>0</v>
      </c>
      <c r="AS16" s="737">
        <v>8074.41</v>
      </c>
      <c r="AT16" s="737">
        <v>0</v>
      </c>
      <c r="AU16" s="737">
        <v>0</v>
      </c>
      <c r="AV16" s="737">
        <v>8000</v>
      </c>
      <c r="AW16" s="737">
        <v>6005</v>
      </c>
      <c r="AX16" s="737">
        <v>19529</v>
      </c>
      <c r="AY16" s="737">
        <v>3546</v>
      </c>
      <c r="AZ16" s="737"/>
      <c r="BA16" s="737"/>
      <c r="BB16" s="740"/>
      <c r="BC16" s="737"/>
      <c r="BD16" s="737"/>
      <c r="BE16" s="737"/>
      <c r="BF16" s="737">
        <v>10029</v>
      </c>
      <c r="BG16" s="737">
        <v>12240</v>
      </c>
      <c r="BH16" s="737">
        <v>0</v>
      </c>
      <c r="BI16" s="737">
        <v>0</v>
      </c>
      <c r="BJ16" s="737">
        <v>14145</v>
      </c>
      <c r="BK16" s="737">
        <v>35960</v>
      </c>
      <c r="BL16" s="737"/>
      <c r="BM16" s="737"/>
      <c r="BN16" s="740"/>
      <c r="BO16" s="737"/>
      <c r="BP16" s="737"/>
      <c r="BQ16" s="737">
        <v>4322</v>
      </c>
      <c r="BR16" s="737"/>
      <c r="BS16" s="737"/>
      <c r="BT16" s="737"/>
      <c r="BU16" s="737"/>
      <c r="BV16" s="737">
        <v>-9278.59</v>
      </c>
      <c r="BW16" s="737">
        <v>14655</v>
      </c>
      <c r="BX16" s="738">
        <v>0</v>
      </c>
      <c r="BY16" s="737">
        <v>9054.6416666666701</v>
      </c>
      <c r="BZ16" s="737">
        <v>3060.7491666666701</v>
      </c>
      <c r="CA16" s="737">
        <v>-9411.2040000000015</v>
      </c>
      <c r="CB16" s="737">
        <v>6651.67</v>
      </c>
      <c r="CC16" s="737">
        <v>0</v>
      </c>
      <c r="CD16" s="737">
        <v>8139.7850000000008</v>
      </c>
      <c r="CE16" s="737">
        <v>0</v>
      </c>
      <c r="CF16" s="737">
        <v>0</v>
      </c>
      <c r="CG16" s="737">
        <v>0</v>
      </c>
      <c r="CH16" s="737">
        <v>-6977.5</v>
      </c>
      <c r="CI16" s="738">
        <v>0</v>
      </c>
      <c r="CJ16" s="737">
        <v>18389.665000000001</v>
      </c>
      <c r="CK16" s="737">
        <v>-4849.8</v>
      </c>
      <c r="CL16" s="737">
        <v>0</v>
      </c>
      <c r="CM16" s="737">
        <v>0</v>
      </c>
      <c r="CN16" s="737">
        <v>3031.3599999999988</v>
      </c>
      <c r="CO16" s="737">
        <v>0</v>
      </c>
      <c r="CP16" s="737">
        <v>0</v>
      </c>
      <c r="CQ16" s="737">
        <v>0</v>
      </c>
      <c r="CR16" s="737">
        <v>1256.1599302325603</v>
      </c>
      <c r="CS16" s="737">
        <v>0</v>
      </c>
      <c r="CT16" s="851">
        <v>4215.1059302325593</v>
      </c>
      <c r="CU16" s="851">
        <v>0</v>
      </c>
    </row>
    <row r="17" spans="1:99">
      <c r="A17" s="4"/>
      <c r="B17" s="200" t="s">
        <v>144</v>
      </c>
      <c r="C17" s="201"/>
      <c r="D17" s="201">
        <f>+D16+C17</f>
        <v>2522</v>
      </c>
      <c r="E17" s="201">
        <f t="shared" ref="E17:CS17" si="24">+E16+D17</f>
        <v>2522</v>
      </c>
      <c r="F17" s="201">
        <f t="shared" si="24"/>
        <v>2522</v>
      </c>
      <c r="G17" s="201">
        <f t="shared" si="24"/>
        <v>6058</v>
      </c>
      <c r="H17" s="201">
        <f t="shared" si="24"/>
        <v>6058</v>
      </c>
      <c r="I17" s="201">
        <f t="shared" si="24"/>
        <v>6058</v>
      </c>
      <c r="J17" s="201">
        <f t="shared" si="24"/>
        <v>6058</v>
      </c>
      <c r="K17" s="201">
        <f t="shared" si="24"/>
        <v>6058</v>
      </c>
      <c r="L17" s="201">
        <f t="shared" si="24"/>
        <v>6058</v>
      </c>
      <c r="M17" s="201">
        <f t="shared" si="24"/>
        <v>6058</v>
      </c>
      <c r="N17" s="201">
        <f t="shared" si="24"/>
        <v>6058</v>
      </c>
      <c r="O17" s="201">
        <f t="shared" si="24"/>
        <v>6058</v>
      </c>
      <c r="P17" s="433">
        <f t="shared" si="24"/>
        <v>6058</v>
      </c>
      <c r="Q17" s="201">
        <f t="shared" si="24"/>
        <v>6058</v>
      </c>
      <c r="R17" s="201">
        <f t="shared" si="24"/>
        <v>6058</v>
      </c>
      <c r="S17" s="201">
        <f t="shared" si="24"/>
        <v>6058</v>
      </c>
      <c r="T17" s="201">
        <f t="shared" si="24"/>
        <v>6058</v>
      </c>
      <c r="U17" s="201">
        <f t="shared" si="24"/>
        <v>6058</v>
      </c>
      <c r="V17" s="201">
        <f t="shared" si="24"/>
        <v>6058</v>
      </c>
      <c r="W17" s="201">
        <f t="shared" si="24"/>
        <v>6058</v>
      </c>
      <c r="X17" s="201">
        <f t="shared" si="24"/>
        <v>6058</v>
      </c>
      <c r="Y17" s="201">
        <f t="shared" si="24"/>
        <v>6058</v>
      </c>
      <c r="Z17" s="201">
        <f t="shared" si="24"/>
        <v>6058</v>
      </c>
      <c r="AA17" s="201">
        <f t="shared" si="24"/>
        <v>6058</v>
      </c>
      <c r="AB17" s="201">
        <f t="shared" si="24"/>
        <v>6058</v>
      </c>
      <c r="AC17" s="201">
        <f t="shared" si="24"/>
        <v>6058</v>
      </c>
      <c r="AD17" s="201">
        <f t="shared" si="24"/>
        <v>6058</v>
      </c>
      <c r="AE17" s="201">
        <f t="shared" si="24"/>
        <v>7609.97</v>
      </c>
      <c r="AF17" s="201">
        <f t="shared" si="24"/>
        <v>7609.97</v>
      </c>
      <c r="AG17" s="369">
        <f t="shared" si="24"/>
        <v>10844.46</v>
      </c>
      <c r="AH17" s="433">
        <f t="shared" si="24"/>
        <v>14412.46</v>
      </c>
      <c r="AI17" s="201">
        <f t="shared" si="24"/>
        <v>18009.424857142858</v>
      </c>
      <c r="AJ17" s="201">
        <f t="shared" si="24"/>
        <v>19277.904857142858</v>
      </c>
      <c r="AK17" s="201">
        <f t="shared" si="24"/>
        <v>19277.904857142858</v>
      </c>
      <c r="AL17" s="201">
        <f t="shared" si="24"/>
        <v>19277.904857142858</v>
      </c>
      <c r="AM17" s="201">
        <f t="shared" si="24"/>
        <v>19277.904857142858</v>
      </c>
      <c r="AN17" s="201">
        <f t="shared" si="24"/>
        <v>21254.280000000002</v>
      </c>
      <c r="AO17" s="201">
        <f t="shared" si="24"/>
        <v>21254.280000000002</v>
      </c>
      <c r="AP17" s="433">
        <f t="shared" si="24"/>
        <v>29683.280000000002</v>
      </c>
      <c r="AQ17" s="201">
        <f t="shared" si="24"/>
        <v>29683.280000000002</v>
      </c>
      <c r="AR17" s="201">
        <f t="shared" si="24"/>
        <v>29683.280000000002</v>
      </c>
      <c r="AS17" s="201">
        <f t="shared" si="24"/>
        <v>37757.69</v>
      </c>
      <c r="AT17" s="201">
        <f t="shared" si="24"/>
        <v>37757.69</v>
      </c>
      <c r="AU17" s="201">
        <f t="shared" si="24"/>
        <v>37757.69</v>
      </c>
      <c r="AV17" s="201">
        <f t="shared" si="24"/>
        <v>45757.69</v>
      </c>
      <c r="AW17" s="201">
        <f t="shared" si="24"/>
        <v>51762.69</v>
      </c>
      <c r="AX17" s="201">
        <f t="shared" si="24"/>
        <v>71291.69</v>
      </c>
      <c r="AY17" s="201">
        <f t="shared" si="24"/>
        <v>74837.69</v>
      </c>
      <c r="AZ17" s="201">
        <f t="shared" si="24"/>
        <v>74837.69</v>
      </c>
      <c r="BA17" s="201">
        <f t="shared" si="24"/>
        <v>74837.69</v>
      </c>
      <c r="BB17" s="426">
        <f t="shared" si="24"/>
        <v>74837.69</v>
      </c>
      <c r="BC17" s="201">
        <f t="shared" si="24"/>
        <v>74837.69</v>
      </c>
      <c r="BD17" s="201">
        <f t="shared" si="24"/>
        <v>74837.69</v>
      </c>
      <c r="BE17" s="201">
        <f t="shared" si="24"/>
        <v>74837.69</v>
      </c>
      <c r="BF17" s="201">
        <f t="shared" si="24"/>
        <v>84866.69</v>
      </c>
      <c r="BG17" s="201">
        <f t="shared" si="24"/>
        <v>97106.69</v>
      </c>
      <c r="BH17" s="201">
        <f t="shared" si="24"/>
        <v>97106.69</v>
      </c>
      <c r="BI17" s="201">
        <f t="shared" si="24"/>
        <v>97106.69</v>
      </c>
      <c r="BJ17" s="201">
        <f t="shared" si="24"/>
        <v>111251.69</v>
      </c>
      <c r="BK17" s="201">
        <f t="shared" si="24"/>
        <v>147211.69</v>
      </c>
      <c r="BL17" s="201">
        <f t="shared" si="24"/>
        <v>147211.69</v>
      </c>
      <c r="BM17" s="201">
        <f t="shared" si="24"/>
        <v>147211.69</v>
      </c>
      <c r="BN17" s="426">
        <f t="shared" si="24"/>
        <v>147211.69</v>
      </c>
      <c r="BO17" s="201">
        <f t="shared" si="24"/>
        <v>147211.69</v>
      </c>
      <c r="BP17" s="201">
        <f t="shared" si="24"/>
        <v>147211.69</v>
      </c>
      <c r="BQ17" s="201">
        <f t="shared" si="24"/>
        <v>151533.69</v>
      </c>
      <c r="BR17" s="201">
        <f t="shared" si="24"/>
        <v>151533.69</v>
      </c>
      <c r="BS17" s="201">
        <f t="shared" si="24"/>
        <v>151533.69</v>
      </c>
      <c r="BT17" s="201">
        <f t="shared" si="24"/>
        <v>151533.69</v>
      </c>
      <c r="BU17" s="201">
        <f t="shared" si="24"/>
        <v>151533.69</v>
      </c>
      <c r="BV17" s="201">
        <f t="shared" si="24"/>
        <v>142255.1</v>
      </c>
      <c r="BW17" s="201">
        <f t="shared" si="24"/>
        <v>156910.1</v>
      </c>
      <c r="BX17" s="433">
        <f t="shared" si="24"/>
        <v>156910.1</v>
      </c>
      <c r="BY17" s="201">
        <f t="shared" si="24"/>
        <v>165964.74166666667</v>
      </c>
      <c r="BZ17" s="201">
        <f t="shared" si="24"/>
        <v>169025.49083333334</v>
      </c>
      <c r="CA17" s="201">
        <f t="shared" si="24"/>
        <v>159614.28683333335</v>
      </c>
      <c r="CB17" s="201">
        <f t="shared" si="24"/>
        <v>166265.95683333336</v>
      </c>
      <c r="CC17" s="201">
        <f t="shared" si="24"/>
        <v>166265.95683333336</v>
      </c>
      <c r="CD17" s="201">
        <f t="shared" si="24"/>
        <v>174405.74183333336</v>
      </c>
      <c r="CE17" s="201">
        <f t="shared" si="24"/>
        <v>174405.74183333336</v>
      </c>
      <c r="CF17" s="201">
        <f t="shared" si="24"/>
        <v>174405.74183333336</v>
      </c>
      <c r="CG17" s="201">
        <f t="shared" si="24"/>
        <v>174405.74183333336</v>
      </c>
      <c r="CH17" s="201">
        <f t="shared" si="24"/>
        <v>167428.24183333336</v>
      </c>
      <c r="CI17" s="433">
        <f t="shared" si="24"/>
        <v>167428.24183333336</v>
      </c>
      <c r="CJ17" s="201">
        <f t="shared" si="24"/>
        <v>185817.90683333337</v>
      </c>
      <c r="CK17" s="201">
        <f t="shared" si="24"/>
        <v>180968.10683333338</v>
      </c>
      <c r="CL17" s="201">
        <f t="shared" si="24"/>
        <v>180968.10683333338</v>
      </c>
      <c r="CM17" s="201">
        <f t="shared" si="24"/>
        <v>180968.10683333338</v>
      </c>
      <c r="CN17" s="201">
        <f t="shared" si="24"/>
        <v>183999.46683333337</v>
      </c>
      <c r="CO17" s="201">
        <v>183999.46683333337</v>
      </c>
      <c r="CP17" s="201">
        <f t="shared" si="24"/>
        <v>183999.46683333337</v>
      </c>
      <c r="CQ17" s="201">
        <f t="shared" si="24"/>
        <v>183999.46683333337</v>
      </c>
      <c r="CR17" s="201">
        <f t="shared" si="24"/>
        <v>185255.62676356593</v>
      </c>
      <c r="CS17" s="201">
        <f t="shared" si="24"/>
        <v>185255.62676356593</v>
      </c>
      <c r="CT17" s="834">
        <f t="shared" ref="CT17" si="25">+CT16+CS17</f>
        <v>189470.73269379849</v>
      </c>
      <c r="CU17" s="834">
        <f t="shared" ref="CU17" si="26">+CU16+CT17</f>
        <v>189470.73269379849</v>
      </c>
    </row>
    <row r="18" spans="1:99">
      <c r="A18" s="4"/>
      <c r="B18" s="203" t="s">
        <v>145</v>
      </c>
      <c r="C18" s="204">
        <f t="shared" ref="C18:CC18" si="27">+C17+C14</f>
        <v>-2742.4199999999983</v>
      </c>
      <c r="D18" s="204">
        <f t="shared" si="27"/>
        <v>780.68000000000029</v>
      </c>
      <c r="E18" s="204">
        <f t="shared" si="27"/>
        <v>1407.0800000000017</v>
      </c>
      <c r="F18" s="204">
        <f t="shared" si="27"/>
        <v>3296.9499999999971</v>
      </c>
      <c r="G18" s="204">
        <f t="shared" si="27"/>
        <v>5973.6648480730419</v>
      </c>
      <c r="H18" s="204">
        <f t="shared" si="27"/>
        <v>5204.5348480730427</v>
      </c>
      <c r="I18" s="204">
        <f t="shared" si="27"/>
        <v>6603.5148480730495</v>
      </c>
      <c r="J18" s="204">
        <f t="shared" si="27"/>
        <v>5230.2158274628891</v>
      </c>
      <c r="K18" s="204">
        <f t="shared" si="27"/>
        <v>5981.7170950894797</v>
      </c>
      <c r="L18" s="204">
        <f t="shared" si="27"/>
        <v>4954.4651789438794</v>
      </c>
      <c r="M18" s="204">
        <f t="shared" si="27"/>
        <v>9802.9752628402493</v>
      </c>
      <c r="N18" s="204">
        <f t="shared" si="27"/>
        <v>11705.453014343759</v>
      </c>
      <c r="O18" s="204">
        <f t="shared" si="27"/>
        <v>11168.161228290031</v>
      </c>
      <c r="P18" s="434">
        <f t="shared" si="27"/>
        <v>14101.514978151172</v>
      </c>
      <c r="Q18" s="204">
        <f t="shared" si="27"/>
        <v>17232.285112245721</v>
      </c>
      <c r="R18" s="204">
        <f t="shared" si="27"/>
        <v>20899.361653673011</v>
      </c>
      <c r="S18" s="204">
        <f t="shared" si="27"/>
        <v>18461.0096195488</v>
      </c>
      <c r="T18" s="204">
        <f t="shared" si="27"/>
        <v>17583.59436270631</v>
      </c>
      <c r="U18" s="204">
        <f t="shared" si="27"/>
        <v>23139.167269598169</v>
      </c>
      <c r="V18" s="204">
        <f t="shared" si="27"/>
        <v>13349.820171000043</v>
      </c>
      <c r="W18" s="204">
        <f t="shared" si="27"/>
        <v>18915.026663962562</v>
      </c>
      <c r="X18" s="204">
        <f t="shared" si="27"/>
        <v>26025.862505833924</v>
      </c>
      <c r="Y18" s="204">
        <f t="shared" si="27"/>
        <v>20885.881640735461</v>
      </c>
      <c r="Z18" s="204">
        <f t="shared" si="27"/>
        <v>14540.707560640643</v>
      </c>
      <c r="AA18" s="204">
        <f t="shared" si="27"/>
        <v>18665.996745851153</v>
      </c>
      <c r="AB18" s="204">
        <f t="shared" si="27"/>
        <v>21686.903645545797</v>
      </c>
      <c r="AC18" s="204">
        <f t="shared" si="27"/>
        <v>23910.794231659413</v>
      </c>
      <c r="AD18" s="204">
        <f t="shared" si="27"/>
        <v>21284.833172693412</v>
      </c>
      <c r="AE18" s="204">
        <f t="shared" si="27"/>
        <v>14952.758102314692</v>
      </c>
      <c r="AF18" s="204">
        <f t="shared" si="27"/>
        <v>20871.191805677779</v>
      </c>
      <c r="AG18" s="370">
        <f t="shared" si="27"/>
        <v>26231.499309534753</v>
      </c>
      <c r="AH18" s="434">
        <f t="shared" si="27"/>
        <v>32263.474742352955</v>
      </c>
      <c r="AI18" s="204">
        <f t="shared" si="27"/>
        <v>38329.292723049934</v>
      </c>
      <c r="AJ18" s="204">
        <f t="shared" si="27"/>
        <v>40218.436866987686</v>
      </c>
      <c r="AK18" s="204">
        <f t="shared" si="27"/>
        <v>35609.136068346648</v>
      </c>
      <c r="AL18" s="204">
        <f t="shared" si="27"/>
        <v>42106.785422299727</v>
      </c>
      <c r="AM18" s="204">
        <f t="shared" si="27"/>
        <v>48717.27910355803</v>
      </c>
      <c r="AN18" s="204">
        <f t="shared" si="27"/>
        <v>58291.437984194461</v>
      </c>
      <c r="AO18" s="204">
        <f t="shared" si="27"/>
        <v>66912.075841735961</v>
      </c>
      <c r="AP18" s="434">
        <f t="shared" si="27"/>
        <v>63285.930437873685</v>
      </c>
      <c r="AQ18" s="204">
        <f t="shared" si="27"/>
        <v>68477.577339436175</v>
      </c>
      <c r="AR18" s="204">
        <f t="shared" si="27"/>
        <v>73872.260426236549</v>
      </c>
      <c r="AS18" s="204">
        <f t="shared" si="27"/>
        <v>90133.415262322495</v>
      </c>
      <c r="AT18" s="204">
        <f t="shared" si="27"/>
        <v>87546.169572835468</v>
      </c>
      <c r="AU18" s="204">
        <f t="shared" si="27"/>
        <v>88978.728422134824</v>
      </c>
      <c r="AV18" s="204">
        <f t="shared" si="27"/>
        <v>92597.488989205391</v>
      </c>
      <c r="AW18" s="204">
        <f t="shared" si="27"/>
        <v>107661.84458442828</v>
      </c>
      <c r="AX18" s="204">
        <f t="shared" si="27"/>
        <v>108907.28733968199</v>
      </c>
      <c r="AY18" s="204">
        <f t="shared" si="27"/>
        <v>115551.59943178725</v>
      </c>
      <c r="AZ18" s="204">
        <f t="shared" si="27"/>
        <v>123791.77943178725</v>
      </c>
      <c r="BA18" s="204">
        <f t="shared" si="27"/>
        <v>128217.07943178724</v>
      </c>
      <c r="BB18" s="427">
        <f t="shared" si="27"/>
        <v>137054.77943178726</v>
      </c>
      <c r="BC18" s="204">
        <f t="shared" si="27"/>
        <v>140028.70943178725</v>
      </c>
      <c r="BD18" s="204">
        <f t="shared" si="27"/>
        <v>127874.76943178725</v>
      </c>
      <c r="BE18" s="204">
        <f t="shared" si="27"/>
        <v>137433.89943178726</v>
      </c>
      <c r="BF18" s="204">
        <f t="shared" si="27"/>
        <v>138645.87334087817</v>
      </c>
      <c r="BG18" s="204">
        <f t="shared" si="27"/>
        <v>144692.5688492115</v>
      </c>
      <c r="BH18" s="204">
        <f t="shared" si="27"/>
        <v>142185.10884921151</v>
      </c>
      <c r="BI18" s="204">
        <f t="shared" si="27"/>
        <v>144512.98884921151</v>
      </c>
      <c r="BJ18" s="204">
        <f t="shared" si="27"/>
        <v>147586.72344012058</v>
      </c>
      <c r="BK18" s="204">
        <f t="shared" si="27"/>
        <v>156288.08940820571</v>
      </c>
      <c r="BL18" s="204">
        <f t="shared" si="27"/>
        <v>156066.2694082057</v>
      </c>
      <c r="BM18" s="204">
        <f t="shared" si="27"/>
        <v>156886.7994082057</v>
      </c>
      <c r="BN18" s="427">
        <f t="shared" si="27"/>
        <v>156953.55940820571</v>
      </c>
      <c r="BO18" s="204">
        <f t="shared" si="27"/>
        <v>146350.47940820569</v>
      </c>
      <c r="BP18" s="204">
        <f t="shared" si="27"/>
        <v>143737.75940820569</v>
      </c>
      <c r="BQ18" s="204">
        <f t="shared" si="27"/>
        <v>151602.94885162674</v>
      </c>
      <c r="BR18" s="204">
        <f t="shared" si="27"/>
        <v>152605.26885162675</v>
      </c>
      <c r="BS18" s="204">
        <f t="shared" si="27"/>
        <v>146104.04885162675</v>
      </c>
      <c r="BT18" s="204">
        <f t="shared" si="27"/>
        <v>146104.04885162675</v>
      </c>
      <c r="BU18" s="204">
        <f t="shared" si="27"/>
        <v>143114.46885162673</v>
      </c>
      <c r="BV18" s="204">
        <f t="shared" si="27"/>
        <v>131437.59885162674</v>
      </c>
      <c r="BW18" s="204">
        <f t="shared" si="27"/>
        <v>156946.06515162677</v>
      </c>
      <c r="BX18" s="434">
        <f t="shared" si="27"/>
        <v>170881.22515162674</v>
      </c>
      <c r="BY18" s="204">
        <f t="shared" si="27"/>
        <v>189040.84515162674</v>
      </c>
      <c r="BZ18" s="204">
        <f t="shared" si="27"/>
        <v>172917.74098496011</v>
      </c>
      <c r="CA18" s="204">
        <f t="shared" si="27"/>
        <v>140369.57698496009</v>
      </c>
      <c r="CB18" s="204">
        <f t="shared" si="27"/>
        <v>160975.9969849601</v>
      </c>
      <c r="CC18" s="204">
        <f t="shared" si="27"/>
        <v>180503.9569849601</v>
      </c>
      <c r="CD18" s="204">
        <f t="shared" ref="CD18:CM18" si="28">+CD17+CD14</f>
        <v>171117.27698496013</v>
      </c>
      <c r="CE18" s="204">
        <f t="shared" si="28"/>
        <v>181295.7469849601</v>
      </c>
      <c r="CF18" s="204">
        <f t="shared" si="28"/>
        <v>190208.58698496013</v>
      </c>
      <c r="CG18" s="204">
        <f t="shared" si="28"/>
        <v>192418.33698496013</v>
      </c>
      <c r="CH18" s="204">
        <f t="shared" si="28"/>
        <v>177482.94823496006</v>
      </c>
      <c r="CI18" s="434">
        <f t="shared" si="28"/>
        <v>186432.28698496005</v>
      </c>
      <c r="CJ18" s="204">
        <f t="shared" si="28"/>
        <v>199521.47198496014</v>
      </c>
      <c r="CK18" s="204">
        <f t="shared" si="28"/>
        <v>183568.57183333335</v>
      </c>
      <c r="CL18" s="204">
        <f t="shared" si="28"/>
        <v>194455.83683333336</v>
      </c>
      <c r="CM18" s="204">
        <f t="shared" si="28"/>
        <v>200149.80183333336</v>
      </c>
      <c r="CN18" s="204">
        <f>+CN17+CN14</f>
        <v>189326.65683333334</v>
      </c>
      <c r="CO18" s="204">
        <v>177844.52083333343</v>
      </c>
      <c r="CP18" s="204">
        <f>+CP17+CP14</f>
        <v>173813.10083333339</v>
      </c>
      <c r="CQ18" s="204">
        <f>+CQ17+CQ14</f>
        <v>196578.21083333343</v>
      </c>
      <c r="CR18" s="204">
        <f>+CR17+CR14</f>
        <v>185782.11176356592</v>
      </c>
      <c r="CS18" s="204">
        <f>+CS17+CS14</f>
        <v>171432.80176356586</v>
      </c>
      <c r="CT18" s="836">
        <f t="shared" ref="CT18:CU18" si="29">+CT17+CT14</f>
        <v>186526.761763566</v>
      </c>
      <c r="CU18" s="836">
        <f t="shared" si="29"/>
        <v>169276.96476356598</v>
      </c>
    </row>
    <row r="19" spans="1:99" ht="13.5" customHeight="1">
      <c r="P19" s="8"/>
      <c r="AG19" s="371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30">+BY18-$BX18</f>
        <v>18159.619999999995</v>
      </c>
      <c r="BZ19" s="60">
        <f t="shared" si="30"/>
        <v>2036.5158333333675</v>
      </c>
      <c r="CA19" s="12">
        <f t="shared" si="30"/>
        <v>-30511.648166666651</v>
      </c>
      <c r="CB19" s="12">
        <f t="shared" si="30"/>
        <v>-9905.2281666666386</v>
      </c>
      <c r="CC19" s="12">
        <f t="shared" si="30"/>
        <v>9622.7318333333533</v>
      </c>
      <c r="CD19" s="12">
        <f t="shared" si="30"/>
        <v>236.05183333338937</v>
      </c>
      <c r="CE19" s="12">
        <f t="shared" si="30"/>
        <v>10414.521833333361</v>
      </c>
      <c r="CF19" s="12">
        <f t="shared" si="30"/>
        <v>19327.361833333387</v>
      </c>
      <c r="CG19" s="12">
        <f t="shared" si="30"/>
        <v>21537.111833333387</v>
      </c>
      <c r="CH19" s="12">
        <f t="shared" si="30"/>
        <v>6601.723083333316</v>
      </c>
      <c r="CI19" s="6">
        <f t="shared" si="30"/>
        <v>15551.061833333311</v>
      </c>
      <c r="CJ19" s="60">
        <f t="shared" ref="CJ19:CN19" si="31">+CJ18-$CI18</f>
        <v>13089.185000000085</v>
      </c>
      <c r="CK19" s="60">
        <f t="shared" si="31"/>
        <v>-2863.715151626704</v>
      </c>
      <c r="CL19" s="60">
        <f t="shared" si="31"/>
        <v>8023.5498483733099</v>
      </c>
      <c r="CM19" s="60">
        <f t="shared" si="31"/>
        <v>13717.514848373306</v>
      </c>
      <c r="CN19" s="60">
        <f t="shared" si="31"/>
        <v>2894.3698483732878</v>
      </c>
      <c r="CO19" s="60">
        <v>-8587.7661516266235</v>
      </c>
      <c r="CP19" s="60">
        <f t="shared" ref="CP19:CQ19" si="32">+CP18-$CI18</f>
        <v>-12619.186151626665</v>
      </c>
      <c r="CQ19" s="60">
        <f t="shared" si="32"/>
        <v>10145.923848373379</v>
      </c>
      <c r="CR19" s="60">
        <f t="shared" ref="CR19:CS19" si="33">+CR18-$CI18</f>
        <v>-650.17522139413632</v>
      </c>
      <c r="CS19" s="60">
        <f t="shared" si="33"/>
        <v>-14999.485221394192</v>
      </c>
      <c r="CT19" s="60">
        <f t="shared" ref="CT19:CU19" si="34">+CT18-$CI18</f>
        <v>94.474778605945176</v>
      </c>
      <c r="CU19" s="60">
        <f t="shared" si="34"/>
        <v>-17155.322221394075</v>
      </c>
    </row>
    <row r="20" spans="1:99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5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</row>
    <row r="21" spans="1:99">
      <c r="A21" s="194">
        <f>+Otros!E12</f>
        <v>0</v>
      </c>
      <c r="B21" s="198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2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3">
        <v>6000</v>
      </c>
      <c r="BB21" s="194">
        <v>6000</v>
      </c>
      <c r="BC21" s="194">
        <v>6000</v>
      </c>
      <c r="BD21" s="194">
        <v>6000</v>
      </c>
      <c r="BE21" s="194">
        <v>36000</v>
      </c>
      <c r="BF21" s="194">
        <v>36000</v>
      </c>
      <c r="BG21" s="194">
        <v>36000</v>
      </c>
      <c r="BH21" s="194">
        <v>36000</v>
      </c>
      <c r="BI21" s="194">
        <v>36000</v>
      </c>
      <c r="BJ21" s="194">
        <v>36000</v>
      </c>
      <c r="BK21" s="194">
        <v>36000</v>
      </c>
      <c r="BL21" s="194">
        <v>36000</v>
      </c>
      <c r="BM21" s="393">
        <v>36000</v>
      </c>
      <c r="BN21" s="194">
        <v>36000</v>
      </c>
      <c r="BO21" s="194">
        <v>36000</v>
      </c>
      <c r="BP21" s="194">
        <v>36000</v>
      </c>
      <c r="BQ21" s="194">
        <v>6000</v>
      </c>
      <c r="BR21" s="194">
        <v>6000</v>
      </c>
      <c r="BS21" s="194">
        <v>6000</v>
      </c>
      <c r="BT21" s="194">
        <v>6000</v>
      </c>
      <c r="BU21" s="194">
        <v>6000</v>
      </c>
      <c r="BV21" s="194">
        <v>6000</v>
      </c>
      <c r="BW21" s="194">
        <v>6000</v>
      </c>
      <c r="BX21" s="194">
        <v>6000</v>
      </c>
      <c r="BY21" s="394">
        <v>6000</v>
      </c>
      <c r="BZ21" s="394">
        <v>6000</v>
      </c>
      <c r="CA21" s="394">
        <v>6000</v>
      </c>
      <c r="CB21" s="394">
        <v>6000</v>
      </c>
      <c r="CC21" s="394">
        <v>6000</v>
      </c>
      <c r="CD21" s="394">
        <v>6000</v>
      </c>
      <c r="CE21" s="394">
        <v>6000</v>
      </c>
      <c r="CF21" s="394">
        <v>6000</v>
      </c>
      <c r="CG21" s="394">
        <v>6000</v>
      </c>
      <c r="CH21" s="394">
        <v>6000</v>
      </c>
      <c r="CI21" s="194">
        <v>6000</v>
      </c>
      <c r="CJ21" s="394">
        <v>6000</v>
      </c>
      <c r="CK21" s="394">
        <v>6000</v>
      </c>
      <c r="CL21" s="394">
        <v>6000</v>
      </c>
      <c r="CM21" s="394">
        <v>6000</v>
      </c>
      <c r="CN21" s="394">
        <v>6000</v>
      </c>
      <c r="CO21" s="394">
        <v>6000</v>
      </c>
      <c r="CP21" s="394">
        <v>6000</v>
      </c>
      <c r="CQ21" s="394">
        <v>6000</v>
      </c>
      <c r="CR21" s="394">
        <v>6000</v>
      </c>
      <c r="CS21" s="394">
        <v>0</v>
      </c>
      <c r="CT21" s="394">
        <v>0</v>
      </c>
      <c r="CU21" s="394">
        <v>0</v>
      </c>
    </row>
    <row r="22" spans="1:99">
      <c r="A22" s="4"/>
      <c r="B22" s="199" t="s">
        <v>149</v>
      </c>
      <c r="C22" s="209"/>
      <c r="D22" s="209">
        <f t="shared" ref="D22:Q22" si="35">+D8-D21</f>
        <v>0</v>
      </c>
      <c r="E22" s="209">
        <f t="shared" si="35"/>
        <v>0</v>
      </c>
      <c r="F22" s="209">
        <f t="shared" si="35"/>
        <v>0</v>
      </c>
      <c r="G22" s="209">
        <f t="shared" si="35"/>
        <v>0</v>
      </c>
      <c r="H22" s="209">
        <f t="shared" si="35"/>
        <v>0</v>
      </c>
      <c r="I22" s="209">
        <f t="shared" si="35"/>
        <v>0</v>
      </c>
      <c r="J22" s="209">
        <f t="shared" si="35"/>
        <v>0</v>
      </c>
      <c r="K22" s="209">
        <f t="shared" si="35"/>
        <v>0</v>
      </c>
      <c r="L22" s="209">
        <f t="shared" si="35"/>
        <v>0</v>
      </c>
      <c r="M22" s="209">
        <f t="shared" si="35"/>
        <v>0</v>
      </c>
      <c r="N22" s="209">
        <f t="shared" si="35"/>
        <v>0</v>
      </c>
      <c r="O22" s="209">
        <f t="shared" si="35"/>
        <v>0</v>
      </c>
      <c r="P22" s="431">
        <f t="shared" si="35"/>
        <v>0</v>
      </c>
      <c r="Q22" s="209">
        <f t="shared" si="35"/>
        <v>0</v>
      </c>
      <c r="R22" s="209">
        <f t="shared" ref="R22:CC22" si="36">+R8-R21</f>
        <v>-281.25</v>
      </c>
      <c r="S22" s="209">
        <f t="shared" si="36"/>
        <v>-17.419354838710206</v>
      </c>
      <c r="T22" s="209">
        <f t="shared" si="36"/>
        <v>-17.419354838710206</v>
      </c>
      <c r="U22" s="209">
        <f t="shared" si="36"/>
        <v>-51.0024057738583</v>
      </c>
      <c r="V22" s="209">
        <f t="shared" si="36"/>
        <v>-51.0024057738583</v>
      </c>
      <c r="W22" s="209">
        <f t="shared" si="36"/>
        <v>80.655737704917556</v>
      </c>
      <c r="X22" s="209">
        <f t="shared" si="36"/>
        <v>80.655737704917556</v>
      </c>
      <c r="Y22" s="209">
        <f t="shared" si="36"/>
        <v>182</v>
      </c>
      <c r="Z22" s="209">
        <f t="shared" si="36"/>
        <v>182</v>
      </c>
      <c r="AA22" s="209">
        <f t="shared" si="36"/>
        <v>182</v>
      </c>
      <c r="AB22" s="209">
        <f t="shared" si="36"/>
        <v>182</v>
      </c>
      <c r="AC22" s="209">
        <f t="shared" si="36"/>
        <v>182</v>
      </c>
      <c r="AD22" s="209">
        <f t="shared" si="36"/>
        <v>182</v>
      </c>
      <c r="AE22" s="209">
        <f t="shared" si="36"/>
        <v>182</v>
      </c>
      <c r="AF22" s="209">
        <f t="shared" si="36"/>
        <v>182</v>
      </c>
      <c r="AG22" s="366">
        <f t="shared" si="36"/>
        <v>182</v>
      </c>
      <c r="AH22" s="431">
        <f t="shared" si="36"/>
        <v>-249.30232558139596</v>
      </c>
      <c r="AI22" s="209">
        <f t="shared" si="36"/>
        <v>-474.50381679389466</v>
      </c>
      <c r="AJ22" s="209">
        <f t="shared" si="36"/>
        <v>-474.50381679389466</v>
      </c>
      <c r="AK22" s="209">
        <f t="shared" si="36"/>
        <v>-109.76744186046562</v>
      </c>
      <c r="AL22" s="209">
        <f t="shared" si="36"/>
        <v>1260.9836065573763</v>
      </c>
      <c r="AM22" s="209">
        <f t="shared" si="36"/>
        <v>1260.9836065573763</v>
      </c>
      <c r="AN22" s="209">
        <f t="shared" si="36"/>
        <v>654.72000000000116</v>
      </c>
      <c r="AO22" s="209">
        <f t="shared" si="36"/>
        <v>1628.6070686070707</v>
      </c>
      <c r="AP22" s="431">
        <f t="shared" si="36"/>
        <v>2117.2881355932223</v>
      </c>
      <c r="AQ22" s="209">
        <f t="shared" si="36"/>
        <v>1469.7520661157032</v>
      </c>
      <c r="AR22" s="209">
        <f t="shared" si="36"/>
        <v>1469.7520661157032</v>
      </c>
      <c r="AS22" s="209">
        <f t="shared" si="36"/>
        <v>1897.8151260504201</v>
      </c>
      <c r="AT22" s="209">
        <f t="shared" si="36"/>
        <v>459.04761904761835</v>
      </c>
      <c r="AU22" s="209">
        <f t="shared" si="36"/>
        <v>459.04761904761835</v>
      </c>
      <c r="AV22" s="209">
        <f t="shared" si="36"/>
        <v>459.04761904761835</v>
      </c>
      <c r="AW22" s="209">
        <f t="shared" si="36"/>
        <v>459.04761904761835</v>
      </c>
      <c r="AX22" s="209">
        <f t="shared" si="36"/>
        <v>266.45669291338709</v>
      </c>
      <c r="AY22" s="209">
        <f t="shared" si="36"/>
        <v>459.04761904761835</v>
      </c>
      <c r="AZ22" s="209">
        <f t="shared" si="36"/>
        <v>76.875</v>
      </c>
      <c r="BA22" s="209">
        <f t="shared" si="36"/>
        <v>-204.375</v>
      </c>
      <c r="BB22" s="423">
        <f t="shared" si="36"/>
        <v>-204.375</v>
      </c>
      <c r="BC22" s="209">
        <f t="shared" si="36"/>
        <v>-204.375</v>
      </c>
      <c r="BD22" s="209">
        <f t="shared" si="36"/>
        <v>-204.375</v>
      </c>
      <c r="BE22" s="209">
        <f t="shared" si="36"/>
        <v>-793.41514516611642</v>
      </c>
      <c r="BF22" s="209">
        <f t="shared" si="36"/>
        <v>-1383.9905826957038</v>
      </c>
      <c r="BG22" s="209">
        <f t="shared" si="36"/>
        <v>-1001.8888888888905</v>
      </c>
      <c r="BH22" s="209">
        <f t="shared" si="36"/>
        <v>-1342.8888888888905</v>
      </c>
      <c r="BI22" s="209">
        <f t="shared" si="36"/>
        <v>-1137.8888888888905</v>
      </c>
      <c r="BJ22" s="209">
        <f t="shared" si="36"/>
        <v>-1617.2941176470631</v>
      </c>
      <c r="BK22" s="209">
        <f t="shared" si="36"/>
        <v>-2770.7234042553173</v>
      </c>
      <c r="BL22" s="209">
        <f t="shared" si="36"/>
        <v>-3862.3333333333321</v>
      </c>
      <c r="BM22" s="209">
        <f t="shared" si="36"/>
        <v>-3618.3333333333321</v>
      </c>
      <c r="BN22" s="423">
        <f t="shared" si="36"/>
        <v>-3985.5675675675666</v>
      </c>
      <c r="BO22" s="209">
        <f t="shared" si="36"/>
        <v>-3972.5675675675666</v>
      </c>
      <c r="BP22" s="209">
        <f t="shared" si="36"/>
        <v>-4104.4736842105267</v>
      </c>
      <c r="BQ22" s="209">
        <f t="shared" si="36"/>
        <v>-1119.4736842105267</v>
      </c>
      <c r="BR22" s="209">
        <f t="shared" si="36"/>
        <v>-1119.4736842105267</v>
      </c>
      <c r="BS22" s="209">
        <f t="shared" si="36"/>
        <v>-1119.4736842105267</v>
      </c>
      <c r="BT22" s="209">
        <f t="shared" si="36"/>
        <v>-1119.4736842105267</v>
      </c>
      <c r="BU22" s="209">
        <f t="shared" si="36"/>
        <v>-1119.4736842105267</v>
      </c>
      <c r="BV22" s="209">
        <f t="shared" si="36"/>
        <v>-1119.4736842105267</v>
      </c>
      <c r="BW22" s="209">
        <f t="shared" si="36"/>
        <v>-1119.4736842105267</v>
      </c>
      <c r="BX22" s="431">
        <f t="shared" si="36"/>
        <v>-293.53846153846189</v>
      </c>
      <c r="BY22" s="209">
        <f t="shared" si="36"/>
        <v>-293.53846153846189</v>
      </c>
      <c r="BZ22" s="209">
        <f t="shared" si="36"/>
        <v>-293.53846153846189</v>
      </c>
      <c r="CA22" s="209">
        <f t="shared" si="36"/>
        <v>-293.53846153846189</v>
      </c>
      <c r="CB22" s="209">
        <f t="shared" si="36"/>
        <v>-293.53846153846189</v>
      </c>
      <c r="CC22" s="209">
        <f t="shared" si="36"/>
        <v>-293.53846153846189</v>
      </c>
      <c r="CD22" s="209">
        <f t="shared" ref="CD22:CM22" si="37">+CD8-CD21</f>
        <v>-701.14285714285688</v>
      </c>
      <c r="CE22" s="209">
        <f t="shared" si="37"/>
        <v>-701.14285714285688</v>
      </c>
      <c r="CF22" s="209">
        <f t="shared" si="37"/>
        <v>-848.33333333333303</v>
      </c>
      <c r="CG22" s="209">
        <f t="shared" si="37"/>
        <v>-848.33333333333303</v>
      </c>
      <c r="CH22" s="209">
        <f t="shared" si="37"/>
        <v>-848.33333333333303</v>
      </c>
      <c r="CI22" s="431">
        <f t="shared" si="37"/>
        <v>-1119.4736842105267</v>
      </c>
      <c r="CJ22" s="209">
        <f t="shared" si="37"/>
        <v>-1119.4736842105267</v>
      </c>
      <c r="CK22" s="209">
        <f t="shared" si="37"/>
        <v>-701.14285714285688</v>
      </c>
      <c r="CL22" s="209">
        <f t="shared" si="37"/>
        <v>-701.14285714285688</v>
      </c>
      <c r="CM22" s="209">
        <f t="shared" si="37"/>
        <v>-701.14285714285688</v>
      </c>
      <c r="CN22" s="209">
        <f>+CN8-CN21</f>
        <v>-204.375</v>
      </c>
      <c r="CO22" s="209">
        <v>-17.419354838710206</v>
      </c>
      <c r="CP22" s="209">
        <f>+CP8-CP21</f>
        <v>-17.419354838710206</v>
      </c>
      <c r="CQ22" s="209">
        <f>+CQ8-CQ21</f>
        <v>-17.419354838710206</v>
      </c>
      <c r="CR22" s="209">
        <f>+CR8-CR21</f>
        <v>-17.419354838710206</v>
      </c>
      <c r="CS22" s="209">
        <f>+CS8-CS21</f>
        <v>0</v>
      </c>
      <c r="CT22" s="838">
        <f t="shared" ref="CT22:CU22" si="38">+CT8-CT21</f>
        <v>0</v>
      </c>
      <c r="CU22" s="838">
        <f t="shared" si="38"/>
        <v>0</v>
      </c>
    </row>
    <row r="23" spans="1:99">
      <c r="A23" s="4"/>
      <c r="B23" s="199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9">+R22/R21</f>
        <v>-4.6875E-2</v>
      </c>
      <c r="S23" s="58">
        <f t="shared" si="39"/>
        <v>-2.9032258064517007E-3</v>
      </c>
      <c r="T23" s="58">
        <f t="shared" si="39"/>
        <v>-2.9032258064517007E-3</v>
      </c>
      <c r="U23" s="58">
        <f t="shared" si="39"/>
        <v>-8.5004009623097163E-3</v>
      </c>
      <c r="V23" s="58">
        <f t="shared" si="39"/>
        <v>-8.5004009623097163E-3</v>
      </c>
      <c r="W23" s="58">
        <f t="shared" si="39"/>
        <v>1.3442622950819593E-2</v>
      </c>
      <c r="X23" s="58">
        <f t="shared" si="39"/>
        <v>1.3442622950819593E-2</v>
      </c>
      <c r="Y23" s="58">
        <f t="shared" si="39"/>
        <v>3.0333333333333334E-2</v>
      </c>
      <c r="Z23" s="58">
        <f t="shared" si="39"/>
        <v>3.0333333333333334E-2</v>
      </c>
      <c r="AA23" s="58">
        <f t="shared" si="39"/>
        <v>3.0333333333333334E-2</v>
      </c>
      <c r="AB23" s="58">
        <f t="shared" si="39"/>
        <v>3.0333333333333334E-2</v>
      </c>
      <c r="AC23" s="58">
        <f t="shared" si="39"/>
        <v>3.0333333333333334E-2</v>
      </c>
      <c r="AD23" s="58">
        <f t="shared" si="39"/>
        <v>3.0333333333333334E-2</v>
      </c>
      <c r="AE23" s="58">
        <f t="shared" si="39"/>
        <v>3.0333333333333334E-2</v>
      </c>
      <c r="AF23" s="58">
        <f t="shared" si="39"/>
        <v>3.0333333333333334E-2</v>
      </c>
      <c r="AG23" s="367">
        <f t="shared" si="39"/>
        <v>3.0333333333333334E-2</v>
      </c>
      <c r="AH23" s="7">
        <f t="shared" si="39"/>
        <v>-4.155038759689933E-2</v>
      </c>
      <c r="AI23" s="58">
        <f t="shared" si="39"/>
        <v>-1.9770992366412277E-2</v>
      </c>
      <c r="AJ23" s="58">
        <f t="shared" si="39"/>
        <v>-1.9770992366412277E-2</v>
      </c>
      <c r="AK23" s="58">
        <f t="shared" si="39"/>
        <v>-4.5736434108527343E-3</v>
      </c>
      <c r="AL23" s="58">
        <f t="shared" si="39"/>
        <v>5.2540983606557345E-2</v>
      </c>
      <c r="AM23" s="58">
        <f t="shared" si="39"/>
        <v>5.2540983606557345E-2</v>
      </c>
      <c r="AN23" s="58">
        <f t="shared" si="39"/>
        <v>2.7280000000000047E-2</v>
      </c>
      <c r="AO23" s="58">
        <f t="shared" si="39"/>
        <v>6.7858627858627951E-2</v>
      </c>
      <c r="AP23" s="7">
        <f t="shared" si="39"/>
        <v>8.8220338983050928E-2</v>
      </c>
      <c r="AQ23" s="58">
        <f t="shared" si="39"/>
        <v>6.1239669421487633E-2</v>
      </c>
      <c r="AR23" s="58">
        <f t="shared" si="39"/>
        <v>6.1239669421487633E-2</v>
      </c>
      <c r="AS23" s="58">
        <f t="shared" si="39"/>
        <v>7.9075630252100834E-2</v>
      </c>
      <c r="AT23" s="58">
        <f t="shared" si="39"/>
        <v>1.9126984126984097E-2</v>
      </c>
      <c r="AU23" s="58">
        <f t="shared" si="39"/>
        <v>1.9126984126984097E-2</v>
      </c>
      <c r="AV23" s="58">
        <f t="shared" si="39"/>
        <v>1.9126984126984097E-2</v>
      </c>
      <c r="AW23" s="58">
        <f t="shared" si="39"/>
        <v>1.9126984126984097E-2</v>
      </c>
      <c r="AX23" s="58">
        <f t="shared" si="39"/>
        <v>1.1102362204724462E-2</v>
      </c>
      <c r="AY23" s="58">
        <f t="shared" si="39"/>
        <v>1.9126984126984097E-2</v>
      </c>
      <c r="AZ23" s="58">
        <f t="shared" si="39"/>
        <v>3.2031249999999998E-3</v>
      </c>
      <c r="BA23" s="58">
        <f t="shared" si="39"/>
        <v>-3.4062500000000002E-2</v>
      </c>
      <c r="BB23" s="424">
        <f t="shared" si="39"/>
        <v>-3.4062500000000002E-2</v>
      </c>
      <c r="BC23" s="58">
        <f t="shared" si="39"/>
        <v>-3.4062500000000002E-2</v>
      </c>
      <c r="BD23" s="58">
        <f t="shared" si="39"/>
        <v>-3.4062500000000002E-2</v>
      </c>
      <c r="BE23" s="58">
        <f t="shared" si="39"/>
        <v>-2.2039309587947677E-2</v>
      </c>
      <c r="BF23" s="58">
        <f t="shared" si="39"/>
        <v>-3.8444182852658437E-2</v>
      </c>
      <c r="BG23" s="58">
        <f t="shared" si="39"/>
        <v>-2.7830246913580291E-2</v>
      </c>
      <c r="BH23" s="58">
        <f t="shared" si="39"/>
        <v>-3.7302469135802513E-2</v>
      </c>
      <c r="BI23" s="58">
        <f t="shared" si="39"/>
        <v>-3.1608024691358066E-2</v>
      </c>
      <c r="BJ23" s="58">
        <f t="shared" si="39"/>
        <v>-4.4924836601307305E-2</v>
      </c>
      <c r="BK23" s="58">
        <f t="shared" si="39"/>
        <v>-7.6964539007092145E-2</v>
      </c>
      <c r="BL23" s="58">
        <f t="shared" si="39"/>
        <v>-0.107287037037037</v>
      </c>
      <c r="BM23" s="58">
        <f t="shared" si="39"/>
        <v>-0.10050925925925923</v>
      </c>
      <c r="BN23" s="424">
        <f t="shared" si="39"/>
        <v>-0.11071021021021019</v>
      </c>
      <c r="BO23" s="58">
        <f t="shared" si="39"/>
        <v>-0.11034909909909907</v>
      </c>
      <c r="BP23" s="58">
        <f t="shared" si="39"/>
        <v>-0.11401315789473686</v>
      </c>
      <c r="BQ23" s="58">
        <f t="shared" si="39"/>
        <v>-0.18657894736842112</v>
      </c>
      <c r="BR23" s="58">
        <f t="shared" si="39"/>
        <v>-0.18657894736842112</v>
      </c>
      <c r="BS23" s="58">
        <f t="shared" si="39"/>
        <v>-0.18657894736842112</v>
      </c>
      <c r="BT23" s="58">
        <f t="shared" si="39"/>
        <v>-0.18657894736842112</v>
      </c>
      <c r="BU23" s="58">
        <f t="shared" si="39"/>
        <v>-0.18657894736842112</v>
      </c>
      <c r="BV23" s="58">
        <f t="shared" si="39"/>
        <v>-0.18657894736842112</v>
      </c>
      <c r="BW23" s="58">
        <f t="shared" si="39"/>
        <v>-0.18657894736842112</v>
      </c>
      <c r="BX23" s="7">
        <f t="shared" si="39"/>
        <v>-4.8923076923076979E-2</v>
      </c>
      <c r="BY23" s="58">
        <f t="shared" si="39"/>
        <v>-4.8923076923076979E-2</v>
      </c>
      <c r="BZ23" s="58">
        <f t="shared" si="39"/>
        <v>-4.8923076923076979E-2</v>
      </c>
      <c r="CA23" s="58">
        <f t="shared" si="39"/>
        <v>-4.8923076923076979E-2</v>
      </c>
      <c r="CB23" s="58">
        <f t="shared" si="39"/>
        <v>-4.8923076923076979E-2</v>
      </c>
      <c r="CC23" s="58">
        <f t="shared" si="39"/>
        <v>-4.8923076923076979E-2</v>
      </c>
      <c r="CD23" s="58">
        <f t="shared" ref="CD23:CM23" si="40">+CD22/CD21</f>
        <v>-0.11685714285714281</v>
      </c>
      <c r="CE23" s="58">
        <f t="shared" si="40"/>
        <v>-0.11685714285714281</v>
      </c>
      <c r="CF23" s="58">
        <f t="shared" si="40"/>
        <v>-0.14138888888888884</v>
      </c>
      <c r="CG23" s="58">
        <f t="shared" si="40"/>
        <v>-0.14138888888888884</v>
      </c>
      <c r="CH23" s="58">
        <f t="shared" si="40"/>
        <v>-0.14138888888888884</v>
      </c>
      <c r="CI23" s="7">
        <f t="shared" si="40"/>
        <v>-0.18657894736842112</v>
      </c>
      <c r="CJ23" s="58">
        <f t="shared" si="40"/>
        <v>-0.18657894736842112</v>
      </c>
      <c r="CK23" s="58">
        <f t="shared" si="40"/>
        <v>-0.11685714285714281</v>
      </c>
      <c r="CL23" s="58">
        <f t="shared" si="40"/>
        <v>-0.11685714285714281</v>
      </c>
      <c r="CM23" s="58">
        <f t="shared" si="40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  <c r="CS23" s="58"/>
      <c r="CT23" s="819"/>
      <c r="CU23" s="819"/>
    </row>
    <row r="24" spans="1:99">
      <c r="A24" s="4"/>
      <c r="B24" s="198" t="s">
        <v>143</v>
      </c>
      <c r="C24" s="202"/>
      <c r="D24" s="202">
        <v>0</v>
      </c>
      <c r="E24" s="202">
        <v>0</v>
      </c>
      <c r="F24" s="202">
        <v>0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0</v>
      </c>
      <c r="M24" s="202">
        <v>0</v>
      </c>
      <c r="N24" s="202">
        <v>0</v>
      </c>
      <c r="O24" s="202">
        <v>0</v>
      </c>
      <c r="P24" s="432">
        <v>0</v>
      </c>
      <c r="Q24" s="202">
        <v>0</v>
      </c>
      <c r="R24" s="202">
        <v>0</v>
      </c>
      <c r="S24" s="202">
        <v>0</v>
      </c>
      <c r="T24" s="202">
        <v>0</v>
      </c>
      <c r="U24" s="202">
        <v>0</v>
      </c>
      <c r="V24" s="202">
        <v>0</v>
      </c>
      <c r="W24" s="202">
        <v>0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0</v>
      </c>
      <c r="AF24" s="202">
        <v>0</v>
      </c>
      <c r="AG24" s="368">
        <v>0</v>
      </c>
      <c r="AH24" s="432">
        <v>0</v>
      </c>
      <c r="AI24" s="202">
        <v>0</v>
      </c>
      <c r="AJ24" s="202">
        <v>0</v>
      </c>
      <c r="AK24" s="202">
        <v>0</v>
      </c>
      <c r="AL24" s="202">
        <v>0</v>
      </c>
      <c r="AM24" s="202">
        <v>0</v>
      </c>
      <c r="AN24" s="202">
        <v>0</v>
      </c>
      <c r="AO24" s="202">
        <v>0</v>
      </c>
      <c r="AP24" s="432">
        <v>0</v>
      </c>
      <c r="AQ24" s="202">
        <v>0</v>
      </c>
      <c r="AR24" s="202">
        <v>0</v>
      </c>
      <c r="AS24" s="202">
        <v>0</v>
      </c>
      <c r="AT24" s="202">
        <v>0</v>
      </c>
      <c r="AU24" s="202">
        <v>0</v>
      </c>
      <c r="AV24" s="202">
        <v>0</v>
      </c>
      <c r="AW24" s="202">
        <v>0</v>
      </c>
      <c r="AX24" s="202">
        <v>0</v>
      </c>
      <c r="AY24" s="202">
        <v>0</v>
      </c>
      <c r="AZ24" s="202">
        <v>0</v>
      </c>
      <c r="BA24" s="202">
        <v>336</v>
      </c>
      <c r="BB24" s="425">
        <v>0</v>
      </c>
      <c r="BC24" s="202">
        <v>0</v>
      </c>
      <c r="BD24" s="202">
        <v>0</v>
      </c>
      <c r="BE24" s="202">
        <v>0</v>
      </c>
      <c r="BF24" s="202">
        <v>0</v>
      </c>
      <c r="BG24" s="202">
        <v>0</v>
      </c>
      <c r="BH24" s="202">
        <v>0</v>
      </c>
      <c r="BI24" s="202">
        <v>0</v>
      </c>
      <c r="BJ24" s="202">
        <v>0</v>
      </c>
      <c r="BK24" s="202">
        <v>0</v>
      </c>
      <c r="BL24" s="202">
        <v>0</v>
      </c>
      <c r="BM24" s="202">
        <v>0</v>
      </c>
      <c r="BN24" s="425">
        <v>0</v>
      </c>
      <c r="BO24" s="202">
        <v>0</v>
      </c>
      <c r="BP24" s="202">
        <v>0</v>
      </c>
      <c r="BQ24" s="202">
        <v>-3396.84</v>
      </c>
      <c r="BR24" s="202"/>
      <c r="BS24" s="202"/>
      <c r="BT24" s="202"/>
      <c r="BU24" s="202"/>
      <c r="BV24" s="202"/>
      <c r="BW24" s="202"/>
      <c r="BX24" s="43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43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>
        <v>-347</v>
      </c>
      <c r="CT24" s="835"/>
      <c r="CU24" s="835"/>
    </row>
    <row r="25" spans="1:99">
      <c r="A25" s="4"/>
      <c r="B25" s="200" t="s">
        <v>144</v>
      </c>
      <c r="C25" s="201"/>
      <c r="D25" s="201">
        <f t="shared" ref="D25:CS25" si="41">+D24+C25</f>
        <v>0</v>
      </c>
      <c r="E25" s="201">
        <f t="shared" si="41"/>
        <v>0</v>
      </c>
      <c r="F25" s="201">
        <f t="shared" si="41"/>
        <v>0</v>
      </c>
      <c r="G25" s="201">
        <f t="shared" si="41"/>
        <v>0</v>
      </c>
      <c r="H25" s="201">
        <f t="shared" si="41"/>
        <v>0</v>
      </c>
      <c r="I25" s="201">
        <f t="shared" si="41"/>
        <v>0</v>
      </c>
      <c r="J25" s="201">
        <f t="shared" si="41"/>
        <v>0</v>
      </c>
      <c r="K25" s="201">
        <f t="shared" si="41"/>
        <v>0</v>
      </c>
      <c r="L25" s="201">
        <f t="shared" si="41"/>
        <v>0</v>
      </c>
      <c r="M25" s="201">
        <f t="shared" si="41"/>
        <v>0</v>
      </c>
      <c r="N25" s="201">
        <f t="shared" si="41"/>
        <v>0</v>
      </c>
      <c r="O25" s="201">
        <f t="shared" si="41"/>
        <v>0</v>
      </c>
      <c r="P25" s="433">
        <f t="shared" si="41"/>
        <v>0</v>
      </c>
      <c r="Q25" s="201">
        <f t="shared" si="41"/>
        <v>0</v>
      </c>
      <c r="R25" s="201">
        <f t="shared" si="41"/>
        <v>0</v>
      </c>
      <c r="S25" s="201">
        <f t="shared" si="41"/>
        <v>0</v>
      </c>
      <c r="T25" s="201">
        <f t="shared" si="41"/>
        <v>0</v>
      </c>
      <c r="U25" s="201">
        <f t="shared" si="41"/>
        <v>0</v>
      </c>
      <c r="V25" s="201">
        <f t="shared" si="41"/>
        <v>0</v>
      </c>
      <c r="W25" s="201">
        <f t="shared" si="41"/>
        <v>0</v>
      </c>
      <c r="X25" s="201">
        <f t="shared" si="41"/>
        <v>0</v>
      </c>
      <c r="Y25" s="201">
        <f t="shared" si="41"/>
        <v>0</v>
      </c>
      <c r="Z25" s="201">
        <f t="shared" si="41"/>
        <v>0</v>
      </c>
      <c r="AA25" s="201">
        <f t="shared" si="41"/>
        <v>0</v>
      </c>
      <c r="AB25" s="201">
        <f t="shared" si="41"/>
        <v>0</v>
      </c>
      <c r="AC25" s="201">
        <f t="shared" si="41"/>
        <v>0</v>
      </c>
      <c r="AD25" s="201">
        <f t="shared" si="41"/>
        <v>0</v>
      </c>
      <c r="AE25" s="201">
        <f t="shared" si="41"/>
        <v>0</v>
      </c>
      <c r="AF25" s="201">
        <f t="shared" si="41"/>
        <v>0</v>
      </c>
      <c r="AG25" s="369">
        <f t="shared" si="41"/>
        <v>0</v>
      </c>
      <c r="AH25" s="433">
        <f t="shared" si="41"/>
        <v>0</v>
      </c>
      <c r="AI25" s="201">
        <f t="shared" si="41"/>
        <v>0</v>
      </c>
      <c r="AJ25" s="201">
        <f t="shared" si="41"/>
        <v>0</v>
      </c>
      <c r="AK25" s="201">
        <f t="shared" si="41"/>
        <v>0</v>
      </c>
      <c r="AL25" s="201">
        <f t="shared" si="41"/>
        <v>0</v>
      </c>
      <c r="AM25" s="201">
        <f t="shared" si="41"/>
        <v>0</v>
      </c>
      <c r="AN25" s="201">
        <f t="shared" si="41"/>
        <v>0</v>
      </c>
      <c r="AO25" s="201">
        <f t="shared" si="41"/>
        <v>0</v>
      </c>
      <c r="AP25" s="433">
        <f t="shared" si="41"/>
        <v>0</v>
      </c>
      <c r="AQ25" s="201">
        <f t="shared" si="41"/>
        <v>0</v>
      </c>
      <c r="AR25" s="201">
        <f t="shared" si="41"/>
        <v>0</v>
      </c>
      <c r="AS25" s="201">
        <f t="shared" si="41"/>
        <v>0</v>
      </c>
      <c r="AT25" s="201">
        <f t="shared" si="41"/>
        <v>0</v>
      </c>
      <c r="AU25" s="201">
        <f t="shared" si="41"/>
        <v>0</v>
      </c>
      <c r="AV25" s="201">
        <f t="shared" si="41"/>
        <v>0</v>
      </c>
      <c r="AW25" s="201">
        <f t="shared" si="41"/>
        <v>0</v>
      </c>
      <c r="AX25" s="201">
        <f t="shared" si="41"/>
        <v>0</v>
      </c>
      <c r="AY25" s="201">
        <f t="shared" si="41"/>
        <v>0</v>
      </c>
      <c r="AZ25" s="201">
        <f t="shared" si="41"/>
        <v>0</v>
      </c>
      <c r="BA25" s="201">
        <f t="shared" si="41"/>
        <v>336</v>
      </c>
      <c r="BB25" s="426">
        <f t="shared" si="41"/>
        <v>336</v>
      </c>
      <c r="BC25" s="201">
        <f t="shared" si="41"/>
        <v>336</v>
      </c>
      <c r="BD25" s="201">
        <f t="shared" si="41"/>
        <v>336</v>
      </c>
      <c r="BE25" s="201">
        <f t="shared" si="41"/>
        <v>336</v>
      </c>
      <c r="BF25" s="201">
        <f t="shared" si="41"/>
        <v>336</v>
      </c>
      <c r="BG25" s="201">
        <f t="shared" si="41"/>
        <v>336</v>
      </c>
      <c r="BH25" s="201">
        <f t="shared" si="41"/>
        <v>336</v>
      </c>
      <c r="BI25" s="201">
        <f t="shared" si="41"/>
        <v>336</v>
      </c>
      <c r="BJ25" s="201">
        <f t="shared" si="41"/>
        <v>336</v>
      </c>
      <c r="BK25" s="201">
        <f t="shared" si="41"/>
        <v>336</v>
      </c>
      <c r="BL25" s="201">
        <f t="shared" si="41"/>
        <v>336</v>
      </c>
      <c r="BM25" s="201">
        <f t="shared" si="41"/>
        <v>336</v>
      </c>
      <c r="BN25" s="426">
        <f t="shared" si="41"/>
        <v>336</v>
      </c>
      <c r="BO25" s="201">
        <f t="shared" si="41"/>
        <v>336</v>
      </c>
      <c r="BP25" s="201">
        <f t="shared" si="41"/>
        <v>336</v>
      </c>
      <c r="BQ25" s="201">
        <f t="shared" si="41"/>
        <v>-3060.84</v>
      </c>
      <c r="BR25" s="201">
        <f t="shared" si="41"/>
        <v>-3060.84</v>
      </c>
      <c r="BS25" s="201">
        <f t="shared" si="41"/>
        <v>-3060.84</v>
      </c>
      <c r="BT25" s="201">
        <f t="shared" si="41"/>
        <v>-3060.84</v>
      </c>
      <c r="BU25" s="201">
        <f t="shared" si="41"/>
        <v>-3060.84</v>
      </c>
      <c r="BV25" s="201">
        <f t="shared" si="41"/>
        <v>-3060.84</v>
      </c>
      <c r="BW25" s="201">
        <f t="shared" si="41"/>
        <v>-3060.84</v>
      </c>
      <c r="BX25" s="433">
        <f t="shared" si="41"/>
        <v>-3060.84</v>
      </c>
      <c r="BY25" s="201">
        <f t="shared" si="41"/>
        <v>-3060.84</v>
      </c>
      <c r="BZ25" s="201">
        <f t="shared" si="41"/>
        <v>-3060.84</v>
      </c>
      <c r="CA25" s="201">
        <f t="shared" si="41"/>
        <v>-3060.84</v>
      </c>
      <c r="CB25" s="201">
        <f t="shared" si="41"/>
        <v>-3060.84</v>
      </c>
      <c r="CC25" s="201">
        <f t="shared" si="41"/>
        <v>-3060.84</v>
      </c>
      <c r="CD25" s="201">
        <f t="shared" si="41"/>
        <v>-3060.84</v>
      </c>
      <c r="CE25" s="201">
        <f t="shared" si="41"/>
        <v>-3060.84</v>
      </c>
      <c r="CF25" s="201">
        <f t="shared" si="41"/>
        <v>-3060.84</v>
      </c>
      <c r="CG25" s="201">
        <f t="shared" si="41"/>
        <v>-3060.84</v>
      </c>
      <c r="CH25" s="201">
        <f t="shared" si="41"/>
        <v>-3060.84</v>
      </c>
      <c r="CI25" s="433">
        <f t="shared" si="41"/>
        <v>-3060.84</v>
      </c>
      <c r="CJ25" s="201">
        <f t="shared" si="41"/>
        <v>-3060.84</v>
      </c>
      <c r="CK25" s="201">
        <f t="shared" si="41"/>
        <v>-3060.84</v>
      </c>
      <c r="CL25" s="201">
        <f t="shared" si="41"/>
        <v>-3060.84</v>
      </c>
      <c r="CM25" s="201">
        <f t="shared" si="41"/>
        <v>-3060.84</v>
      </c>
      <c r="CN25" s="201">
        <f t="shared" si="41"/>
        <v>-3060.84</v>
      </c>
      <c r="CO25" s="201">
        <v>-3060.84</v>
      </c>
      <c r="CP25" s="201">
        <f t="shared" si="41"/>
        <v>-3060.84</v>
      </c>
      <c r="CQ25" s="201">
        <f t="shared" si="41"/>
        <v>-3060.84</v>
      </c>
      <c r="CR25" s="201">
        <f t="shared" si="41"/>
        <v>-3060.84</v>
      </c>
      <c r="CS25" s="201">
        <f t="shared" si="41"/>
        <v>-3407.84</v>
      </c>
      <c r="CT25" s="834">
        <f t="shared" ref="CT25" si="42">+CT24+CS25</f>
        <v>-3407.84</v>
      </c>
      <c r="CU25" s="834">
        <f t="shared" ref="CU25" si="43">+CU24+CT25</f>
        <v>-3407.84</v>
      </c>
    </row>
    <row r="26" spans="1:99">
      <c r="A26" s="4"/>
      <c r="B26" s="203" t="s">
        <v>145</v>
      </c>
      <c r="C26" s="204"/>
      <c r="D26" s="204">
        <f t="shared" ref="D26:CC26" si="44">+D25+D22</f>
        <v>0</v>
      </c>
      <c r="E26" s="204">
        <f t="shared" si="44"/>
        <v>0</v>
      </c>
      <c r="F26" s="204">
        <f t="shared" si="44"/>
        <v>0</v>
      </c>
      <c r="G26" s="204">
        <f t="shared" si="44"/>
        <v>0</v>
      </c>
      <c r="H26" s="204">
        <f t="shared" si="44"/>
        <v>0</v>
      </c>
      <c r="I26" s="204">
        <f t="shared" si="44"/>
        <v>0</v>
      </c>
      <c r="J26" s="204">
        <f t="shared" si="44"/>
        <v>0</v>
      </c>
      <c r="K26" s="204">
        <f t="shared" si="44"/>
        <v>0</v>
      </c>
      <c r="L26" s="204">
        <f t="shared" si="44"/>
        <v>0</v>
      </c>
      <c r="M26" s="204">
        <f t="shared" si="44"/>
        <v>0</v>
      </c>
      <c r="N26" s="204">
        <f t="shared" si="44"/>
        <v>0</v>
      </c>
      <c r="O26" s="204">
        <f t="shared" si="44"/>
        <v>0</v>
      </c>
      <c r="P26" s="434">
        <f t="shared" si="44"/>
        <v>0</v>
      </c>
      <c r="Q26" s="204">
        <f t="shared" si="44"/>
        <v>0</v>
      </c>
      <c r="R26" s="204">
        <f t="shared" si="44"/>
        <v>-281.25</v>
      </c>
      <c r="S26" s="204">
        <f t="shared" si="44"/>
        <v>-17.419354838710206</v>
      </c>
      <c r="T26" s="204">
        <f t="shared" si="44"/>
        <v>-17.419354838710206</v>
      </c>
      <c r="U26" s="204">
        <f t="shared" si="44"/>
        <v>-51.0024057738583</v>
      </c>
      <c r="V26" s="204">
        <f t="shared" si="44"/>
        <v>-51.0024057738583</v>
      </c>
      <c r="W26" s="204">
        <f t="shared" si="44"/>
        <v>80.655737704917556</v>
      </c>
      <c r="X26" s="204">
        <f t="shared" si="44"/>
        <v>80.655737704917556</v>
      </c>
      <c r="Y26" s="204">
        <f t="shared" si="44"/>
        <v>182</v>
      </c>
      <c r="Z26" s="204">
        <f t="shared" si="44"/>
        <v>182</v>
      </c>
      <c r="AA26" s="204">
        <f t="shared" si="44"/>
        <v>182</v>
      </c>
      <c r="AB26" s="204">
        <f t="shared" si="44"/>
        <v>182</v>
      </c>
      <c r="AC26" s="204">
        <f t="shared" si="44"/>
        <v>182</v>
      </c>
      <c r="AD26" s="204">
        <f t="shared" si="44"/>
        <v>182</v>
      </c>
      <c r="AE26" s="204">
        <f t="shared" si="44"/>
        <v>182</v>
      </c>
      <c r="AF26" s="204">
        <f t="shared" si="44"/>
        <v>182</v>
      </c>
      <c r="AG26" s="370">
        <f t="shared" si="44"/>
        <v>182</v>
      </c>
      <c r="AH26" s="434">
        <f t="shared" si="44"/>
        <v>-249.30232558139596</v>
      </c>
      <c r="AI26" s="204">
        <f t="shared" si="44"/>
        <v>-474.50381679389466</v>
      </c>
      <c r="AJ26" s="204">
        <f t="shared" si="44"/>
        <v>-474.50381679389466</v>
      </c>
      <c r="AK26" s="204">
        <f t="shared" si="44"/>
        <v>-109.76744186046562</v>
      </c>
      <c r="AL26" s="204">
        <f t="shared" si="44"/>
        <v>1260.9836065573763</v>
      </c>
      <c r="AM26" s="204">
        <f t="shared" si="44"/>
        <v>1260.9836065573763</v>
      </c>
      <c r="AN26" s="204">
        <f t="shared" si="44"/>
        <v>654.72000000000116</v>
      </c>
      <c r="AO26" s="204">
        <f t="shared" si="44"/>
        <v>1628.6070686070707</v>
      </c>
      <c r="AP26" s="434">
        <f t="shared" si="44"/>
        <v>2117.2881355932223</v>
      </c>
      <c r="AQ26" s="204">
        <f t="shared" si="44"/>
        <v>1469.7520661157032</v>
      </c>
      <c r="AR26" s="204">
        <f t="shared" si="44"/>
        <v>1469.7520661157032</v>
      </c>
      <c r="AS26" s="204">
        <f t="shared" si="44"/>
        <v>1897.8151260504201</v>
      </c>
      <c r="AT26" s="204">
        <f t="shared" si="44"/>
        <v>459.04761904761835</v>
      </c>
      <c r="AU26" s="204">
        <f t="shared" si="44"/>
        <v>459.04761904761835</v>
      </c>
      <c r="AV26" s="204">
        <f t="shared" si="44"/>
        <v>459.04761904761835</v>
      </c>
      <c r="AW26" s="204">
        <f t="shared" si="44"/>
        <v>459.04761904761835</v>
      </c>
      <c r="AX26" s="204">
        <f t="shared" si="44"/>
        <v>266.45669291338709</v>
      </c>
      <c r="AY26" s="204">
        <f t="shared" si="44"/>
        <v>459.04761904761835</v>
      </c>
      <c r="AZ26" s="204">
        <f t="shared" si="44"/>
        <v>76.875</v>
      </c>
      <c r="BA26" s="204">
        <f t="shared" si="44"/>
        <v>131.625</v>
      </c>
      <c r="BB26" s="427">
        <f t="shared" si="44"/>
        <v>131.625</v>
      </c>
      <c r="BC26" s="204">
        <f t="shared" si="44"/>
        <v>131.625</v>
      </c>
      <c r="BD26" s="204">
        <f t="shared" si="44"/>
        <v>131.625</v>
      </c>
      <c r="BE26" s="204">
        <f t="shared" si="44"/>
        <v>-457.41514516611642</v>
      </c>
      <c r="BF26" s="204">
        <f t="shared" si="44"/>
        <v>-1047.9905826957038</v>
      </c>
      <c r="BG26" s="204">
        <f t="shared" si="44"/>
        <v>-665.88888888889051</v>
      </c>
      <c r="BH26" s="204">
        <f t="shared" si="44"/>
        <v>-1006.8888888888905</v>
      </c>
      <c r="BI26" s="204">
        <f t="shared" si="44"/>
        <v>-801.88888888889051</v>
      </c>
      <c r="BJ26" s="204">
        <f t="shared" si="44"/>
        <v>-1281.2941176470631</v>
      </c>
      <c r="BK26" s="204">
        <f t="shared" si="44"/>
        <v>-2434.7234042553173</v>
      </c>
      <c r="BL26" s="204">
        <f t="shared" si="44"/>
        <v>-3526.3333333333321</v>
      </c>
      <c r="BM26" s="204">
        <f t="shared" si="44"/>
        <v>-3282.3333333333321</v>
      </c>
      <c r="BN26" s="427">
        <f t="shared" si="44"/>
        <v>-3649.5675675675666</v>
      </c>
      <c r="BO26" s="204">
        <f t="shared" si="44"/>
        <v>-3636.5675675675666</v>
      </c>
      <c r="BP26" s="204">
        <f t="shared" si="44"/>
        <v>-3768.4736842105267</v>
      </c>
      <c r="BQ26" s="204">
        <f t="shared" si="44"/>
        <v>-4180.3136842105268</v>
      </c>
      <c r="BR26" s="204">
        <f t="shared" si="44"/>
        <v>-4180.3136842105268</v>
      </c>
      <c r="BS26" s="204">
        <f t="shared" si="44"/>
        <v>-4180.3136842105268</v>
      </c>
      <c r="BT26" s="204">
        <f t="shared" si="44"/>
        <v>-4180.3136842105268</v>
      </c>
      <c r="BU26" s="204">
        <f t="shared" si="44"/>
        <v>-4180.3136842105268</v>
      </c>
      <c r="BV26" s="204">
        <f t="shared" si="44"/>
        <v>-4180.3136842105268</v>
      </c>
      <c r="BW26" s="204">
        <f t="shared" si="44"/>
        <v>-4180.3136842105268</v>
      </c>
      <c r="BX26" s="434">
        <f t="shared" si="44"/>
        <v>-3354.378461538462</v>
      </c>
      <c r="BY26" s="204">
        <f t="shared" si="44"/>
        <v>-3354.378461538462</v>
      </c>
      <c r="BZ26" s="204">
        <f t="shared" si="44"/>
        <v>-3354.378461538462</v>
      </c>
      <c r="CA26" s="204">
        <f t="shared" si="44"/>
        <v>-3354.378461538462</v>
      </c>
      <c r="CB26" s="204">
        <f t="shared" si="44"/>
        <v>-3354.378461538462</v>
      </c>
      <c r="CC26" s="204">
        <f t="shared" si="44"/>
        <v>-3354.378461538462</v>
      </c>
      <c r="CD26" s="204">
        <f t="shared" ref="CD26:CM26" si="45">+CD25+CD22</f>
        <v>-3761.982857142857</v>
      </c>
      <c r="CE26" s="204">
        <f t="shared" si="45"/>
        <v>-3761.982857142857</v>
      </c>
      <c r="CF26" s="204">
        <f t="shared" si="45"/>
        <v>-3909.1733333333332</v>
      </c>
      <c r="CG26" s="204">
        <f t="shared" si="45"/>
        <v>-3909.1733333333332</v>
      </c>
      <c r="CH26" s="204">
        <f t="shared" si="45"/>
        <v>-3909.1733333333332</v>
      </c>
      <c r="CI26" s="434">
        <f t="shared" si="45"/>
        <v>-4180.3136842105268</v>
      </c>
      <c r="CJ26" s="204">
        <f t="shared" si="45"/>
        <v>-4180.3136842105268</v>
      </c>
      <c r="CK26" s="204">
        <f t="shared" si="45"/>
        <v>-3761.982857142857</v>
      </c>
      <c r="CL26" s="204">
        <f t="shared" si="45"/>
        <v>-3761.982857142857</v>
      </c>
      <c r="CM26" s="204">
        <f t="shared" si="45"/>
        <v>-3761.982857142857</v>
      </c>
      <c r="CN26" s="204">
        <f>+CN25+CN22</f>
        <v>-3265.2150000000001</v>
      </c>
      <c r="CO26" s="204">
        <v>-3078.2593548387104</v>
      </c>
      <c r="CP26" s="204">
        <f>+CP25+CP22</f>
        <v>-3078.2593548387104</v>
      </c>
      <c r="CQ26" s="204">
        <f>+CQ25+CQ22</f>
        <v>-3078.2593548387104</v>
      </c>
      <c r="CR26" s="204">
        <f>+CR25+CR22</f>
        <v>-3078.2593548387104</v>
      </c>
      <c r="CS26" s="204">
        <f>+CS25+CS22</f>
        <v>-3407.84</v>
      </c>
      <c r="CT26" s="836">
        <f t="shared" ref="CT26:CU26" si="46">+CT25+CT22</f>
        <v>-3407.84</v>
      </c>
      <c r="CU26" s="836">
        <f t="shared" si="46"/>
        <v>-3407.84</v>
      </c>
    </row>
    <row r="27" spans="1:99" ht="13.9" customHeight="1">
      <c r="P27" s="8"/>
      <c r="AG27" s="371"/>
      <c r="AH27" s="8"/>
      <c r="AP27" s="8"/>
      <c r="BB27" s="2"/>
      <c r="BN27" s="2"/>
      <c r="BX27" s="8"/>
      <c r="CI27" s="8"/>
    </row>
    <row r="28" spans="1:99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5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</row>
    <row r="29" spans="1:99">
      <c r="B29" s="205" t="s">
        <v>155</v>
      </c>
      <c r="C29" s="120"/>
      <c r="D29" s="60">
        <f t="shared" ref="D29:CS29" si="47">+D10-C10</f>
        <v>-91.570000000006985</v>
      </c>
      <c r="E29" s="60">
        <f t="shared" si="47"/>
        <v>1577.3999999999942</v>
      </c>
      <c r="F29" s="60">
        <f t="shared" si="47"/>
        <v>1410.529594150983</v>
      </c>
      <c r="G29" s="60">
        <f t="shared" si="47"/>
        <v>842.60484807300963</v>
      </c>
      <c r="H29" s="60">
        <f t="shared" si="47"/>
        <v>-696.4199999999837</v>
      </c>
      <c r="I29" s="60">
        <f t="shared" si="47"/>
        <v>3229.460000000021</v>
      </c>
      <c r="J29" s="60">
        <f t="shared" si="47"/>
        <v>-1283.0590206101479</v>
      </c>
      <c r="K29" s="60">
        <f t="shared" si="47"/>
        <v>41.501267626561457</v>
      </c>
      <c r="L29" s="60">
        <f t="shared" si="47"/>
        <v>-1375.0919161455822</v>
      </c>
      <c r="M29" s="60">
        <f t="shared" si="47"/>
        <v>5198.5100838963699</v>
      </c>
      <c r="N29" s="60">
        <f t="shared" si="47"/>
        <v>1900.4777515034948</v>
      </c>
      <c r="O29" s="60">
        <f t="shared" si="47"/>
        <v>1473.7082139462873</v>
      </c>
      <c r="P29" s="97">
        <f t="shared" si="47"/>
        <v>1322.3537498611258</v>
      </c>
      <c r="Q29" s="60">
        <f t="shared" si="47"/>
        <v>2630.7701340945496</v>
      </c>
      <c r="R29" s="60">
        <f t="shared" si="47"/>
        <v>2849.5865414272994</v>
      </c>
      <c r="S29" s="60">
        <f t="shared" si="47"/>
        <v>-3441.5213889629231</v>
      </c>
      <c r="T29" s="60">
        <f t="shared" si="47"/>
        <v>1332.4347431575297</v>
      </c>
      <c r="U29" s="60">
        <f t="shared" si="47"/>
        <v>2570.9898559567227</v>
      </c>
      <c r="V29" s="60">
        <f t="shared" si="47"/>
        <v>-9788.8670985981589</v>
      </c>
      <c r="W29" s="60">
        <f t="shared" si="47"/>
        <v>8284.8646364412853</v>
      </c>
      <c r="X29" s="60">
        <f t="shared" si="47"/>
        <v>5505.8358418713906</v>
      </c>
      <c r="Y29" s="60">
        <f t="shared" si="47"/>
        <v>-3636.7065828475752</v>
      </c>
      <c r="Z29" s="60">
        <f t="shared" si="47"/>
        <v>-6308.1197643466876</v>
      </c>
      <c r="AA29" s="60">
        <f t="shared" si="47"/>
        <v>20409.606660764955</v>
      </c>
      <c r="AB29" s="60">
        <f t="shared" si="47"/>
        <v>-4164.0931003053556</v>
      </c>
      <c r="AC29" s="60">
        <f t="shared" si="47"/>
        <v>2208.7090203568514</v>
      </c>
      <c r="AD29" s="60">
        <f t="shared" si="47"/>
        <v>-638.56105896597728</v>
      </c>
      <c r="AE29" s="60">
        <f t="shared" si="47"/>
        <v>-9937.8288931216521</v>
      </c>
      <c r="AF29" s="60">
        <f t="shared" si="47"/>
        <v>5918.4337033630873</v>
      </c>
      <c r="AG29" s="362">
        <f t="shared" si="47"/>
        <v>3665.3157928681758</v>
      </c>
      <c r="AH29" s="97">
        <f t="shared" si="47"/>
        <v>6080.990034769231</v>
      </c>
      <c r="AI29" s="60">
        <f t="shared" si="47"/>
        <v>187.80098857794655</v>
      </c>
      <c r="AJ29" s="60">
        <f t="shared" si="47"/>
        <v>3852.894267255615</v>
      </c>
      <c r="AK29" s="60">
        <f t="shared" si="47"/>
        <v>592.88044950875337</v>
      </c>
      <c r="AL29" s="60">
        <f t="shared" si="47"/>
        <v>59943.45270742345</v>
      </c>
      <c r="AM29" s="60">
        <f t="shared" si="47"/>
        <v>32909.973881633254</v>
      </c>
      <c r="AN29" s="60">
        <f t="shared" si="47"/>
        <v>14031.167105720029</v>
      </c>
      <c r="AO29" s="60">
        <f t="shared" si="47"/>
        <v>12372.574802865973</v>
      </c>
      <c r="AP29" s="97">
        <f t="shared" si="47"/>
        <v>7054.6149838240817</v>
      </c>
      <c r="AQ29" s="60">
        <f t="shared" si="47"/>
        <v>7795.2516071120044</v>
      </c>
      <c r="AR29" s="60">
        <f t="shared" si="47"/>
        <v>5746.2235734963324</v>
      </c>
      <c r="AS29" s="60">
        <f t="shared" si="47"/>
        <v>14841.370443166816</v>
      </c>
      <c r="AT29" s="60">
        <f t="shared" si="47"/>
        <v>18132.002570638026</v>
      </c>
      <c r="AU29" s="60">
        <f t="shared" si="47"/>
        <v>33620.270113521139</v>
      </c>
      <c r="AV29" s="60">
        <f t="shared" si="47"/>
        <v>-16277.203596449282</v>
      </c>
      <c r="AW29" s="60">
        <f t="shared" si="47"/>
        <v>15416.683448855823</v>
      </c>
      <c r="AX29" s="60">
        <f t="shared" si="47"/>
        <v>-516.53952369530452</v>
      </c>
      <c r="AY29" s="60">
        <f t="shared" si="47"/>
        <v>5159.270926134137</v>
      </c>
      <c r="AZ29" s="60">
        <f t="shared" si="47"/>
        <v>9658.0081041349913</v>
      </c>
      <c r="BA29" s="60">
        <f t="shared" si="47"/>
        <v>14350.050000000047</v>
      </c>
      <c r="BB29" s="106">
        <f t="shared" si="47"/>
        <v>7931.6999999999534</v>
      </c>
      <c r="BC29" s="60">
        <f t="shared" si="47"/>
        <v>4173.9299999999348</v>
      </c>
      <c r="BD29" s="60">
        <f t="shared" si="47"/>
        <v>-12954.739999999991</v>
      </c>
      <c r="BE29" s="60">
        <f t="shared" si="47"/>
        <v>33087.089854833903</v>
      </c>
      <c r="BF29" s="60">
        <f t="shared" si="47"/>
        <v>-2141.7454375295201</v>
      </c>
      <c r="BG29" s="60">
        <f t="shared" si="47"/>
        <v>7040.2416938067763</v>
      </c>
      <c r="BH29" s="60">
        <f t="shared" si="47"/>
        <v>7284.539999999979</v>
      </c>
      <c r="BI29" s="60">
        <f t="shared" si="47"/>
        <v>3927.8800000000047</v>
      </c>
      <c r="BJ29" s="60">
        <f t="shared" si="47"/>
        <v>10229.374771241914</v>
      </c>
      <c r="BK29" s="60">
        <f t="shared" si="47"/>
        <v>9199.1224993592477</v>
      </c>
      <c r="BL29" s="60">
        <f t="shared" si="47"/>
        <v>-2472.4299290779163</v>
      </c>
      <c r="BM29" s="60">
        <f t="shared" si="47"/>
        <v>88647.530000000261</v>
      </c>
      <c r="BN29" s="106">
        <f t="shared" si="47"/>
        <v>9385.0757657653885</v>
      </c>
      <c r="BO29" s="60">
        <f t="shared" si="47"/>
        <v>-21589.079999999958</v>
      </c>
      <c r="BP29" s="60">
        <f t="shared" si="47"/>
        <v>-3179.6261166429613</v>
      </c>
      <c r="BQ29" s="60">
        <f t="shared" si="47"/>
        <v>46823.969999999972</v>
      </c>
      <c r="BR29" s="60">
        <f t="shared" si="47"/>
        <v>102.32000000006519</v>
      </c>
      <c r="BS29" s="60">
        <f t="shared" si="47"/>
        <v>12761.780000000028</v>
      </c>
      <c r="BT29" s="60">
        <f t="shared" si="47"/>
        <v>28840</v>
      </c>
      <c r="BU29" s="60">
        <f t="shared" si="47"/>
        <v>-1566.7180000001099</v>
      </c>
      <c r="BV29" s="60">
        <f t="shared" si="47"/>
        <v>-12847.243999999948</v>
      </c>
      <c r="BW29" s="60">
        <f t="shared" si="47"/>
        <v>34202.090000000084</v>
      </c>
      <c r="BX29" s="97">
        <f t="shared" si="47"/>
        <v>20226.655222672038</v>
      </c>
      <c r="BY29" s="60">
        <f t="shared" si="47"/>
        <v>18071.624000000069</v>
      </c>
      <c r="BZ29" s="60">
        <f t="shared" si="47"/>
        <v>180.95999999996275</v>
      </c>
      <c r="CA29" s="60">
        <f t="shared" si="47"/>
        <v>-32206.728000000003</v>
      </c>
      <c r="CB29" s="60">
        <f t="shared" si="47"/>
        <v>20228.643999999971</v>
      </c>
      <c r="CC29" s="60">
        <f t="shared" si="47"/>
        <v>18868.559999999823</v>
      </c>
      <c r="CD29" s="60">
        <f t="shared" si="47"/>
        <v>36736.231501256698</v>
      </c>
      <c r="CE29" s="60">
        <f t="shared" si="47"/>
        <v>10425.741453237715</v>
      </c>
      <c r="CF29" s="60">
        <f t="shared" si="47"/>
        <v>13009.17756111559</v>
      </c>
      <c r="CG29" s="60">
        <f t="shared" si="47"/>
        <v>2105.2780373061541</v>
      </c>
      <c r="CH29" s="60">
        <f t="shared" si="47"/>
        <v>5158.6416373059619</v>
      </c>
      <c r="CI29" s="97">
        <f t="shared" si="47"/>
        <v>10784.040204077843</v>
      </c>
      <c r="CJ29" s="60">
        <f t="shared" si="47"/>
        <v>1256.8489830279723</v>
      </c>
      <c r="CK29" s="60">
        <f t="shared" si="47"/>
        <v>-16246.638497926295</v>
      </c>
      <c r="CL29" s="60">
        <f t="shared" si="47"/>
        <v>7988.3050000000512</v>
      </c>
      <c r="CM29" s="60">
        <f t="shared" si="47"/>
        <v>5746.4050000000279</v>
      </c>
      <c r="CN29" s="60">
        <f t="shared" si="47"/>
        <v>423709.57756159885</v>
      </c>
      <c r="CO29" s="60">
        <v>-3832.4520248386543</v>
      </c>
      <c r="CP29" s="60">
        <f t="shared" si="47"/>
        <v>-10585.319999999832</v>
      </c>
      <c r="CQ29" s="60">
        <f t="shared" si="47"/>
        <v>16355.110000000335</v>
      </c>
      <c r="CR29" s="60">
        <f t="shared" si="47"/>
        <v>-20145.740000000224</v>
      </c>
      <c r="CS29" s="60">
        <f t="shared" si="47"/>
        <v>-13217.486972425599</v>
      </c>
      <c r="CT29" s="60">
        <f t="shared" ref="CT29" si="48">+CT10-CS10</f>
        <v>23046.695000000065</v>
      </c>
      <c r="CU29" s="60">
        <f t="shared" ref="CU29" si="49">+CU10-CT10</f>
        <v>-17118.367000000086</v>
      </c>
    </row>
    <row r="30" spans="1:99">
      <c r="B30" s="206" t="s">
        <v>153</v>
      </c>
      <c r="C30" s="210">
        <v>0</v>
      </c>
      <c r="D30" s="211">
        <f>+D29+C30</f>
        <v>-91.570000000006985</v>
      </c>
      <c r="E30" s="211">
        <f t="shared" ref="E30:CS30" si="50">+E29+D30</f>
        <v>1485.8299999999872</v>
      </c>
      <c r="F30" s="211">
        <f t="shared" si="50"/>
        <v>2896.3595941509702</v>
      </c>
      <c r="G30" s="211">
        <f t="shared" si="50"/>
        <v>3738.9644422239799</v>
      </c>
      <c r="H30" s="211">
        <f t="shared" si="50"/>
        <v>3042.5444422239962</v>
      </c>
      <c r="I30" s="211">
        <f t="shared" si="50"/>
        <v>6272.0044422240171</v>
      </c>
      <c r="J30" s="211">
        <f t="shared" si="50"/>
        <v>4988.9454216138693</v>
      </c>
      <c r="K30" s="211">
        <f t="shared" si="50"/>
        <v>5030.4466892404307</v>
      </c>
      <c r="L30" s="211">
        <f t="shared" si="50"/>
        <v>3655.3547730948485</v>
      </c>
      <c r="M30" s="211">
        <f t="shared" si="50"/>
        <v>8853.8648569912184</v>
      </c>
      <c r="N30" s="211">
        <f t="shared" si="50"/>
        <v>10754.342608494713</v>
      </c>
      <c r="O30" s="211">
        <f t="shared" si="50"/>
        <v>12228.050822441</v>
      </c>
      <c r="P30" s="268">
        <f t="shared" si="50"/>
        <v>13550.404572302126</v>
      </c>
      <c r="Q30" s="211">
        <f t="shared" si="50"/>
        <v>16181.174706396676</v>
      </c>
      <c r="R30" s="211">
        <f t="shared" si="50"/>
        <v>19030.761247823975</v>
      </c>
      <c r="S30" s="211">
        <f t="shared" si="50"/>
        <v>15589.239858861052</v>
      </c>
      <c r="T30" s="211">
        <f t="shared" si="50"/>
        <v>16921.674602018582</v>
      </c>
      <c r="U30" s="211">
        <f t="shared" si="50"/>
        <v>19492.664457975305</v>
      </c>
      <c r="V30" s="211">
        <f t="shared" si="50"/>
        <v>9703.7973593771458</v>
      </c>
      <c r="W30" s="211">
        <f t="shared" si="50"/>
        <v>17988.661995818431</v>
      </c>
      <c r="X30" s="211">
        <f t="shared" si="50"/>
        <v>23494.497837689822</v>
      </c>
      <c r="Y30" s="211">
        <f t="shared" si="50"/>
        <v>19857.791254842246</v>
      </c>
      <c r="Z30" s="211">
        <f t="shared" si="50"/>
        <v>13549.671490495559</v>
      </c>
      <c r="AA30" s="211">
        <f t="shared" si="50"/>
        <v>33959.278151260514</v>
      </c>
      <c r="AB30" s="211">
        <f t="shared" si="50"/>
        <v>29795.185050955159</v>
      </c>
      <c r="AC30" s="211">
        <f t="shared" si="50"/>
        <v>32003.89407131201</v>
      </c>
      <c r="AD30" s="211">
        <f t="shared" si="50"/>
        <v>31365.333012346033</v>
      </c>
      <c r="AE30" s="211">
        <f t="shared" si="50"/>
        <v>21427.504119224381</v>
      </c>
      <c r="AF30" s="211">
        <f t="shared" si="50"/>
        <v>27345.937822587468</v>
      </c>
      <c r="AG30" s="372">
        <f t="shared" si="50"/>
        <v>31011.253615455644</v>
      </c>
      <c r="AH30" s="268">
        <f t="shared" si="50"/>
        <v>37092.243650224875</v>
      </c>
      <c r="AI30" s="211">
        <f t="shared" si="50"/>
        <v>37280.044638802821</v>
      </c>
      <c r="AJ30" s="211">
        <f t="shared" si="50"/>
        <v>41132.938906058436</v>
      </c>
      <c r="AK30" s="211">
        <f t="shared" si="50"/>
        <v>41725.81935556719</v>
      </c>
      <c r="AL30" s="211">
        <f t="shared" si="50"/>
        <v>101669.27206299064</v>
      </c>
      <c r="AM30" s="211">
        <f t="shared" si="50"/>
        <v>134579.24594462389</v>
      </c>
      <c r="AN30" s="211">
        <f t="shared" si="50"/>
        <v>148610.41305034392</v>
      </c>
      <c r="AO30" s="211">
        <f t="shared" si="50"/>
        <v>160982.9878532099</v>
      </c>
      <c r="AP30" s="268">
        <f t="shared" si="50"/>
        <v>168037.60283703398</v>
      </c>
      <c r="AQ30" s="211">
        <f t="shared" si="50"/>
        <v>175832.85444414598</v>
      </c>
      <c r="AR30" s="211">
        <f t="shared" si="50"/>
        <v>181579.07801764231</v>
      </c>
      <c r="AS30" s="211">
        <f t="shared" si="50"/>
        <v>196420.44846080913</v>
      </c>
      <c r="AT30" s="211">
        <f t="shared" si="50"/>
        <v>214552.45103144716</v>
      </c>
      <c r="AU30" s="211">
        <f t="shared" si="50"/>
        <v>248172.72114496829</v>
      </c>
      <c r="AV30" s="211">
        <f t="shared" si="50"/>
        <v>231895.51754851901</v>
      </c>
      <c r="AW30" s="211">
        <f t="shared" si="50"/>
        <v>247312.20099737484</v>
      </c>
      <c r="AX30" s="211">
        <f t="shared" si="50"/>
        <v>246795.66147367953</v>
      </c>
      <c r="AY30" s="211">
        <f t="shared" si="50"/>
        <v>251954.93239981367</v>
      </c>
      <c r="AZ30" s="211">
        <f t="shared" si="50"/>
        <v>261612.94050394866</v>
      </c>
      <c r="BA30" s="211">
        <f t="shared" si="50"/>
        <v>275962.99050394871</v>
      </c>
      <c r="BB30" s="428">
        <f t="shared" si="50"/>
        <v>283894.69050394866</v>
      </c>
      <c r="BC30" s="211">
        <f t="shared" si="50"/>
        <v>288068.62050394859</v>
      </c>
      <c r="BD30" s="211">
        <f t="shared" si="50"/>
        <v>275113.8805039486</v>
      </c>
      <c r="BE30" s="211">
        <f t="shared" si="50"/>
        <v>308200.97035878251</v>
      </c>
      <c r="BF30" s="211">
        <f t="shared" si="50"/>
        <v>306059.22492125299</v>
      </c>
      <c r="BG30" s="211">
        <f t="shared" si="50"/>
        <v>313099.46661505976</v>
      </c>
      <c r="BH30" s="211">
        <f t="shared" si="50"/>
        <v>320384.00661505974</v>
      </c>
      <c r="BI30" s="211">
        <f t="shared" si="50"/>
        <v>324311.88661505975</v>
      </c>
      <c r="BJ30" s="211">
        <f t="shared" si="50"/>
        <v>334541.26138630166</v>
      </c>
      <c r="BK30" s="211">
        <f t="shared" si="50"/>
        <v>343740.38388566091</v>
      </c>
      <c r="BL30" s="211">
        <f t="shared" si="50"/>
        <v>341267.95395658299</v>
      </c>
      <c r="BM30" s="211">
        <f t="shared" si="50"/>
        <v>429915.48395658325</v>
      </c>
      <c r="BN30" s="428">
        <f t="shared" si="50"/>
        <v>439300.55972234864</v>
      </c>
      <c r="BO30" s="211">
        <f t="shared" si="50"/>
        <v>417711.47972234868</v>
      </c>
      <c r="BP30" s="211">
        <f t="shared" si="50"/>
        <v>414531.85360570572</v>
      </c>
      <c r="BQ30" s="211">
        <f t="shared" si="50"/>
        <v>461355.82360570569</v>
      </c>
      <c r="BR30" s="211">
        <f t="shared" si="50"/>
        <v>461458.14360570576</v>
      </c>
      <c r="BS30" s="211">
        <f t="shared" si="50"/>
        <v>474219.92360570579</v>
      </c>
      <c r="BT30" s="211">
        <f t="shared" si="50"/>
        <v>503059.92360570579</v>
      </c>
      <c r="BU30" s="211">
        <f t="shared" si="50"/>
        <v>501493.20560570568</v>
      </c>
      <c r="BV30" s="211">
        <f t="shared" si="50"/>
        <v>488645.96160570573</v>
      </c>
      <c r="BW30" s="211">
        <f t="shared" si="50"/>
        <v>522848.05160570581</v>
      </c>
      <c r="BX30" s="268">
        <f t="shared" si="50"/>
        <v>543074.70682837791</v>
      </c>
      <c r="BY30" s="211">
        <f t="shared" si="50"/>
        <v>561146.33082837798</v>
      </c>
      <c r="BZ30" s="211">
        <f t="shared" si="50"/>
        <v>561327.29082837794</v>
      </c>
      <c r="CA30" s="211">
        <f t="shared" si="50"/>
        <v>529120.56282837794</v>
      </c>
      <c r="CB30" s="211">
        <f t="shared" si="50"/>
        <v>549349.20682837791</v>
      </c>
      <c r="CC30" s="211">
        <f t="shared" si="50"/>
        <v>568217.76682837773</v>
      </c>
      <c r="CD30" s="211">
        <f t="shared" si="50"/>
        <v>604953.99832963443</v>
      </c>
      <c r="CE30" s="211">
        <f t="shared" si="50"/>
        <v>615379.73978287214</v>
      </c>
      <c r="CF30" s="211">
        <f t="shared" si="50"/>
        <v>628388.91734398773</v>
      </c>
      <c r="CG30" s="211">
        <f t="shared" si="50"/>
        <v>630494.19538129389</v>
      </c>
      <c r="CH30" s="211">
        <f t="shared" si="50"/>
        <v>635652.83701859985</v>
      </c>
      <c r="CI30" s="268">
        <f t="shared" si="50"/>
        <v>646436.87722267769</v>
      </c>
      <c r="CJ30" s="211">
        <f t="shared" si="50"/>
        <v>647693.72620570567</v>
      </c>
      <c r="CK30" s="211">
        <f t="shared" si="50"/>
        <v>631447.08770777937</v>
      </c>
      <c r="CL30" s="211">
        <f t="shared" si="50"/>
        <v>639435.39270777942</v>
      </c>
      <c r="CM30" s="211">
        <f t="shared" si="50"/>
        <v>645181.79770777945</v>
      </c>
      <c r="CN30" s="211">
        <f t="shared" si="50"/>
        <v>1068891.3752693783</v>
      </c>
      <c r="CO30" s="211">
        <v>1065058.9232445396</v>
      </c>
      <c r="CP30" s="211">
        <f t="shared" si="50"/>
        <v>1054473.6032445398</v>
      </c>
      <c r="CQ30" s="211">
        <f t="shared" si="50"/>
        <v>1070828.7132445402</v>
      </c>
      <c r="CR30" s="211">
        <f t="shared" si="50"/>
        <v>1050682.9732445399</v>
      </c>
      <c r="CS30" s="211">
        <f t="shared" si="50"/>
        <v>1037465.4862721143</v>
      </c>
      <c r="CT30" s="211">
        <f t="shared" ref="CT30" si="51">+CT29+CS30</f>
        <v>1060512.1812721144</v>
      </c>
      <c r="CU30" s="211">
        <f t="shared" ref="CU30" si="52">+CU29+CT30</f>
        <v>1043393.8142721143</v>
      </c>
    </row>
    <row r="31" spans="1:99">
      <c r="A31" s="206"/>
      <c r="B31" s="207" t="s">
        <v>151</v>
      </c>
      <c r="C31" s="9"/>
      <c r="D31" s="208">
        <f>+D30/$C$10</f>
        <v>-6.0112225049694388E-4</v>
      </c>
      <c r="E31" s="208">
        <f t="shared" ref="E31:CC31" si="53">+E30/$C$10</f>
        <v>9.7539092874937023E-3</v>
      </c>
      <c r="F31" s="208">
        <f t="shared" si="53"/>
        <v>1.901350002713021E-2</v>
      </c>
      <c r="G31" s="208">
        <f t="shared" si="53"/>
        <v>2.4544880638173613E-2</v>
      </c>
      <c r="H31" s="208">
        <f t="shared" si="53"/>
        <v>1.9973147999852767E-2</v>
      </c>
      <c r="I31" s="208">
        <f t="shared" si="53"/>
        <v>4.1173325602667281E-2</v>
      </c>
      <c r="J31" s="208">
        <f t="shared" si="53"/>
        <v>3.2750530735467125E-2</v>
      </c>
      <c r="K31" s="208">
        <f t="shared" si="53"/>
        <v>3.302297078563806E-2</v>
      </c>
      <c r="L31" s="208">
        <f t="shared" si="53"/>
        <v>2.3996014934665865E-2</v>
      </c>
      <c r="M31" s="208">
        <f t="shared" si="53"/>
        <v>5.8122258036801981E-2</v>
      </c>
      <c r="N31" s="208">
        <f t="shared" si="53"/>
        <v>7.0598172233624801E-2</v>
      </c>
      <c r="O31" s="208">
        <f t="shared" si="53"/>
        <v>8.0272506602338964E-2</v>
      </c>
      <c r="P31" s="15">
        <f t="shared" si="53"/>
        <v>8.8953256433828884E-2</v>
      </c>
      <c r="Q31" s="208">
        <f t="shared" si="53"/>
        <v>0.10622326258810366</v>
      </c>
      <c r="R31" s="208">
        <f t="shared" si="53"/>
        <v>0.12492971529934589</v>
      </c>
      <c r="S31" s="208">
        <f t="shared" si="53"/>
        <v>0.10233743526804084</v>
      </c>
      <c r="T31" s="208">
        <f t="shared" si="53"/>
        <v>0.1110843629894246</v>
      </c>
      <c r="U31" s="208">
        <f t="shared" si="53"/>
        <v>0.12796193433612549</v>
      </c>
      <c r="V31" s="208">
        <f t="shared" si="53"/>
        <v>6.370174191366873E-2</v>
      </c>
      <c r="W31" s="208">
        <f t="shared" si="53"/>
        <v>0.11808872974068359</v>
      </c>
      <c r="X31" s="208">
        <f t="shared" si="53"/>
        <v>0.15423244965039434</v>
      </c>
      <c r="Y31" s="208">
        <f t="shared" si="53"/>
        <v>0.13035885299779831</v>
      </c>
      <c r="Z31" s="208">
        <f t="shared" si="53"/>
        <v>8.8948444030363102E-2</v>
      </c>
      <c r="AA31" s="208">
        <f t="shared" si="53"/>
        <v>0.22292975546069518</v>
      </c>
      <c r="AB31" s="208">
        <f t="shared" si="53"/>
        <v>0.19559406674458554</v>
      </c>
      <c r="AC31" s="208">
        <f t="shared" si="53"/>
        <v>0.21009340208377641</v>
      </c>
      <c r="AD31" s="208">
        <f t="shared" si="53"/>
        <v>0.20590149140511191</v>
      </c>
      <c r="AE31" s="208">
        <f t="shared" si="53"/>
        <v>0.14066342141181296</v>
      </c>
      <c r="AF31" s="208">
        <f t="shared" si="53"/>
        <v>0.17951568948194846</v>
      </c>
      <c r="AG31" s="373">
        <f t="shared" si="53"/>
        <v>0.20357709472592292</v>
      </c>
      <c r="AH31" s="15">
        <f t="shared" si="53"/>
        <v>0.2434964833351802</v>
      </c>
      <c r="AI31" s="208">
        <f t="shared" si="53"/>
        <v>0.24472932545486478</v>
      </c>
      <c r="AJ31" s="208">
        <f t="shared" si="53"/>
        <v>0.2700221120974256</v>
      </c>
      <c r="AK31" s="208">
        <f t="shared" si="53"/>
        <v>0.27391414693508326</v>
      </c>
      <c r="AL31" s="208">
        <f t="shared" si="53"/>
        <v>0.66742013354686403</v>
      </c>
      <c r="AM31" s="208">
        <f t="shared" si="53"/>
        <v>0.88346160524634543</v>
      </c>
      <c r="AN31" s="208">
        <f t="shared" si="53"/>
        <v>0.97557088500705824</v>
      </c>
      <c r="AO31" s="208">
        <f t="shared" si="53"/>
        <v>1.0567921366171926</v>
      </c>
      <c r="AP31" s="15">
        <f t="shared" si="53"/>
        <v>1.1031030030086468</v>
      </c>
      <c r="AQ31" s="208">
        <f t="shared" si="53"/>
        <v>1.1542758673665887</v>
      </c>
      <c r="AR31" s="208">
        <f t="shared" si="53"/>
        <v>1.191997641379458</v>
      </c>
      <c r="AS31" s="208">
        <f t="shared" si="53"/>
        <v>1.2894255981475544</v>
      </c>
      <c r="AT31" s="208">
        <f t="shared" si="53"/>
        <v>1.4084553042879657</v>
      </c>
      <c r="AU31" s="208">
        <f t="shared" si="53"/>
        <v>1.629159600814704</v>
      </c>
      <c r="AV31" s="208">
        <f t="shared" si="53"/>
        <v>1.5223059450574277</v>
      </c>
      <c r="AW31" s="208">
        <f t="shared" si="53"/>
        <v>1.6235106130706907</v>
      </c>
      <c r="AX31" s="208">
        <f t="shared" si="53"/>
        <v>1.6201197273990262</v>
      </c>
      <c r="AY31" s="208">
        <f t="shared" si="53"/>
        <v>1.6539883803425772</v>
      </c>
      <c r="AZ31" s="208">
        <f t="shared" si="53"/>
        <v>1.71738953319695</v>
      </c>
      <c r="BA31" s="208">
        <f t="shared" si="53"/>
        <v>1.8115921579730014</v>
      </c>
      <c r="BB31" s="429">
        <f t="shared" si="53"/>
        <v>1.8636607541755374</v>
      </c>
      <c r="BC31" s="208">
        <f t="shared" si="53"/>
        <v>1.8910610183998082</v>
      </c>
      <c r="BD31" s="208">
        <f t="shared" si="53"/>
        <v>1.8060180735117206</v>
      </c>
      <c r="BE31" s="208">
        <f t="shared" si="53"/>
        <v>2.0232222442655794</v>
      </c>
      <c r="BF31" s="208">
        <f t="shared" si="53"/>
        <v>2.0091624993993653</v>
      </c>
      <c r="BG31" s="208">
        <f t="shared" si="53"/>
        <v>2.0553790106041618</v>
      </c>
      <c r="BH31" s="208">
        <f t="shared" si="53"/>
        <v>2.1031992473480154</v>
      </c>
      <c r="BI31" s="208">
        <f t="shared" si="53"/>
        <v>2.1289842868290871</v>
      </c>
      <c r="BJ31" s="208">
        <f t="shared" si="53"/>
        <v>2.1961362447155692</v>
      </c>
      <c r="BK31" s="208">
        <f t="shared" si="53"/>
        <v>2.2565249879656673</v>
      </c>
      <c r="BL31" s="208">
        <f t="shared" si="53"/>
        <v>2.2402944250830288</v>
      </c>
      <c r="BM31" s="208">
        <f t="shared" si="53"/>
        <v>2.8222317706611815</v>
      </c>
      <c r="BN31" s="429">
        <f t="shared" si="53"/>
        <v>2.8838412264370992</v>
      </c>
      <c r="BO31" s="208">
        <f t="shared" si="53"/>
        <v>2.7421171207719519</v>
      </c>
      <c r="BP31" s="208">
        <f t="shared" si="53"/>
        <v>2.7212440836749208</v>
      </c>
      <c r="BQ31" s="208">
        <f t="shared" si="53"/>
        <v>3.0286256521318302</v>
      </c>
      <c r="BR31" s="208">
        <f t="shared" si="53"/>
        <v>3.029297344046987</v>
      </c>
      <c r="BS31" s="208">
        <f t="shared" si="53"/>
        <v>3.1130735798659921</v>
      </c>
      <c r="BT31" s="208">
        <f t="shared" si="53"/>
        <v>3.3023972197516596</v>
      </c>
      <c r="BU31" s="208">
        <f t="shared" si="53"/>
        <v>3.2921123114841695</v>
      </c>
      <c r="BV31" s="208">
        <f t="shared" si="53"/>
        <v>3.2077750369841942</v>
      </c>
      <c r="BW31" s="208">
        <f t="shared" si="53"/>
        <v>3.432298759955664</v>
      </c>
      <c r="BX31" s="15">
        <f t="shared" si="53"/>
        <v>3.565079064722263</v>
      </c>
      <c r="BY31" s="208">
        <f t="shared" si="53"/>
        <v>3.6837124084922075</v>
      </c>
      <c r="BZ31" s="208">
        <f t="shared" si="53"/>
        <v>3.6849003421216699</v>
      </c>
      <c r="CA31" s="208">
        <f t="shared" si="53"/>
        <v>3.4734754123793805</v>
      </c>
      <c r="CB31" s="208">
        <f t="shared" si="53"/>
        <v>3.6062687727133387</v>
      </c>
      <c r="CC31" s="208">
        <f t="shared" si="53"/>
        <v>3.7301336984623354</v>
      </c>
      <c r="CD31" s="208">
        <f t="shared" ref="CD31:CM31" si="54">+CD30/$C$10</f>
        <v>3.971293097335443</v>
      </c>
      <c r="CE31" s="208">
        <f t="shared" si="54"/>
        <v>4.0397341278636629</v>
      </c>
      <c r="CF31" s="208">
        <f t="shared" si="54"/>
        <v>4.125134434652475</v>
      </c>
      <c r="CG31" s="208">
        <f t="shared" si="54"/>
        <v>4.1389547848949908</v>
      </c>
      <c r="CH31" s="208">
        <f t="shared" si="54"/>
        <v>4.1728193067965345</v>
      </c>
      <c r="CI31" s="15">
        <f t="shared" si="54"/>
        <v>4.2436124324591349</v>
      </c>
      <c r="CJ31" s="208">
        <f t="shared" si="54"/>
        <v>4.251863168390253</v>
      </c>
      <c r="CK31" s="208">
        <f t="shared" si="54"/>
        <v>4.1452101608890741</v>
      </c>
      <c r="CL31" s="208">
        <f t="shared" si="54"/>
        <v>4.1976503474049158</v>
      </c>
      <c r="CM31" s="208">
        <f t="shared" si="54"/>
        <v>4.2353733124138335</v>
      </c>
      <c r="CN31" s="208">
        <f>+CN30/$C$10</f>
        <v>7.016865666033123</v>
      </c>
      <c r="CO31" s="208">
        <v>6.9917070749433288</v>
      </c>
      <c r="CP31" s="208">
        <f>+CP30/$C$10</f>
        <v>6.9222184719005231</v>
      </c>
      <c r="CQ31" s="208">
        <f>+CQ30/$C$10</f>
        <v>7.0295835535902089</v>
      </c>
      <c r="CR31" s="208">
        <f>+CR30/$C$10</f>
        <v>6.8973344265101009</v>
      </c>
      <c r="CS31" s="208">
        <f>+CS30/$C$10</f>
        <v>6.8105666476002185</v>
      </c>
      <c r="CT31" s="837">
        <f t="shared" ref="CT31:CU31" si="55">+CT30/$C$10</f>
        <v>6.9618594418004554</v>
      </c>
      <c r="CU31" s="837">
        <f t="shared" si="55"/>
        <v>6.8494838679676286</v>
      </c>
    </row>
    <row r="32" spans="1:99" ht="8.4499999999999993" customHeight="1">
      <c r="P32" s="8"/>
      <c r="AG32" s="371"/>
      <c r="AH32" s="8"/>
      <c r="AP32" s="8"/>
      <c r="BB32" s="2"/>
      <c r="BN32" s="2"/>
      <c r="BX32" s="8"/>
      <c r="CI32" s="8"/>
    </row>
    <row r="33" spans="1:99">
      <c r="B33" s="203" t="s">
        <v>150</v>
      </c>
      <c r="C33" s="119"/>
      <c r="D33" s="185">
        <f>+D30-D18</f>
        <v>-872.25000000000728</v>
      </c>
      <c r="E33" s="185">
        <f t="shared" ref="E33:Q33" si="56">+E30-E18-E26</f>
        <v>78.749999999985448</v>
      </c>
      <c r="F33" s="185">
        <f t="shared" si="56"/>
        <v>-400.59040584902687</v>
      </c>
      <c r="G33" s="185">
        <f t="shared" si="56"/>
        <v>-2234.700405849062</v>
      </c>
      <c r="H33" s="185">
        <f t="shared" si="56"/>
        <v>-2161.9904058490465</v>
      </c>
      <c r="I33" s="185">
        <f t="shared" si="56"/>
        <v>-331.5104058490324</v>
      </c>
      <c r="J33" s="185">
        <f t="shared" si="56"/>
        <v>-241.27040584901988</v>
      </c>
      <c r="K33" s="185">
        <f t="shared" si="56"/>
        <v>-951.27040584904898</v>
      </c>
      <c r="L33" s="185">
        <f t="shared" si="56"/>
        <v>-1299.1104058490309</v>
      </c>
      <c r="M33" s="185">
        <f t="shared" si="56"/>
        <v>-949.11040584903094</v>
      </c>
      <c r="N33" s="185">
        <f t="shared" si="56"/>
        <v>-951.11040584904549</v>
      </c>
      <c r="O33" s="185">
        <f t="shared" si="56"/>
        <v>1059.8895941509691</v>
      </c>
      <c r="P33" s="13">
        <f t="shared" si="56"/>
        <v>-551.11040584904549</v>
      </c>
      <c r="Q33" s="185">
        <f t="shared" si="56"/>
        <v>-1051.1104058490455</v>
      </c>
      <c r="R33" s="185">
        <f t="shared" ref="R33:W33" si="57">+R30-R18-R26</f>
        <v>-1587.3504058490362</v>
      </c>
      <c r="S33" s="185">
        <f t="shared" si="57"/>
        <v>-2854.350405849038</v>
      </c>
      <c r="T33" s="185">
        <f t="shared" si="57"/>
        <v>-644.50040584901762</v>
      </c>
      <c r="U33" s="185">
        <f t="shared" si="57"/>
        <v>-3595.5004058490058</v>
      </c>
      <c r="V33" s="185">
        <f t="shared" si="57"/>
        <v>-3595.020405849039</v>
      </c>
      <c r="W33" s="185">
        <f t="shared" si="57"/>
        <v>-1007.020405849049</v>
      </c>
      <c r="X33" s="185">
        <f t="shared" ref="X33:AC33" si="58">+X30-X18-X26</f>
        <v>-2612.0204058490199</v>
      </c>
      <c r="Y33" s="185">
        <f t="shared" si="58"/>
        <v>-1210.0903858932143</v>
      </c>
      <c r="Z33" s="185">
        <f t="shared" si="58"/>
        <v>-1173.0360701450845</v>
      </c>
      <c r="AA33" s="185">
        <f t="shared" si="58"/>
        <v>15111.281405409361</v>
      </c>
      <c r="AB33" s="185">
        <f t="shared" si="58"/>
        <v>7926.2814054093615</v>
      </c>
      <c r="AC33" s="185">
        <f t="shared" si="58"/>
        <v>7911.0998396525974</v>
      </c>
      <c r="AD33" s="185">
        <f t="shared" ref="AD33:AI33" si="59">+AD30-AD18-AD26</f>
        <v>9898.4998396526207</v>
      </c>
      <c r="AE33" s="185">
        <f t="shared" si="59"/>
        <v>6292.7460169096885</v>
      </c>
      <c r="AF33" s="185">
        <f t="shared" si="59"/>
        <v>6292.7460169096885</v>
      </c>
      <c r="AG33" s="374">
        <f t="shared" si="59"/>
        <v>4597.7543059208911</v>
      </c>
      <c r="AH33" s="13">
        <f t="shared" si="59"/>
        <v>5078.0712334533155</v>
      </c>
      <c r="AI33" s="185">
        <f t="shared" si="59"/>
        <v>-574.74426745321762</v>
      </c>
      <c r="AJ33" s="185">
        <f t="shared" ref="AJ33:AO33" si="60">+AJ30-AJ18-AJ26</f>
        <v>1389.0058558646451</v>
      </c>
      <c r="AK33" s="185">
        <f t="shared" si="60"/>
        <v>6226.450729081007</v>
      </c>
      <c r="AL33" s="185">
        <f t="shared" si="60"/>
        <v>58301.503034133537</v>
      </c>
      <c r="AM33" s="185">
        <f t="shared" si="60"/>
        <v>84600.983234508487</v>
      </c>
      <c r="AN33" s="185">
        <f t="shared" si="60"/>
        <v>89664.255066149461</v>
      </c>
      <c r="AO33" s="185">
        <f t="shared" si="60"/>
        <v>92442.30494286686</v>
      </c>
      <c r="AP33" s="13">
        <f t="shared" ref="AP33:AU33" si="61">+AP30-AP18-AP26</f>
        <v>102634.38426356707</v>
      </c>
      <c r="AQ33" s="185">
        <f t="shared" si="61"/>
        <v>105885.5250385941</v>
      </c>
      <c r="AR33" s="185">
        <f t="shared" si="61"/>
        <v>106237.06552529006</v>
      </c>
      <c r="AS33" s="185">
        <f t="shared" si="61"/>
        <v>104389.21807243621</v>
      </c>
      <c r="AT33" s="185">
        <f t="shared" si="61"/>
        <v>126547.23383956407</v>
      </c>
      <c r="AU33" s="185">
        <f t="shared" si="61"/>
        <v>158734.94510378584</v>
      </c>
      <c r="AV33" s="185">
        <f t="shared" ref="AV33:BA33" si="62">+AV30-AV18-AV26</f>
        <v>138838.98094026599</v>
      </c>
      <c r="AW33" s="185">
        <f t="shared" si="62"/>
        <v>139191.3087938989</v>
      </c>
      <c r="AX33" s="185">
        <f t="shared" si="62"/>
        <v>137621.91744108417</v>
      </c>
      <c r="AY33" s="185">
        <f t="shared" si="62"/>
        <v>135944.28534897877</v>
      </c>
      <c r="AZ33" s="185">
        <f t="shared" si="62"/>
        <v>137744.2860721614</v>
      </c>
      <c r="BA33" s="185">
        <f t="shared" si="62"/>
        <v>147614.28607216146</v>
      </c>
      <c r="BB33" s="189">
        <f t="shared" ref="BB33:BG33" si="63">+BB30-BB18-BB26</f>
        <v>146708.2860721614</v>
      </c>
      <c r="BC33" s="185">
        <f t="shared" si="63"/>
        <v>147908.28607216134</v>
      </c>
      <c r="BD33" s="185">
        <f t="shared" si="63"/>
        <v>147107.48607216135</v>
      </c>
      <c r="BE33" s="185">
        <f t="shared" si="63"/>
        <v>171224.48607216135</v>
      </c>
      <c r="BF33" s="185">
        <f t="shared" si="63"/>
        <v>168461.34216307051</v>
      </c>
      <c r="BG33" s="185">
        <f t="shared" si="63"/>
        <v>169072.78665473714</v>
      </c>
      <c r="BH33" s="185">
        <f t="shared" ref="BH33:BM33" si="64">+BH30-BH18-BH26</f>
        <v>179205.78665473714</v>
      </c>
      <c r="BI33" s="185">
        <f t="shared" si="64"/>
        <v>180600.78665473714</v>
      </c>
      <c r="BJ33" s="185">
        <f t="shared" si="64"/>
        <v>188235.83206382813</v>
      </c>
      <c r="BK33" s="185">
        <f t="shared" si="64"/>
        <v>189887.01788171052</v>
      </c>
      <c r="BL33" s="185">
        <f t="shared" si="64"/>
        <v>188728.01788171064</v>
      </c>
      <c r="BM33" s="185">
        <f t="shared" si="64"/>
        <v>276311.01788171084</v>
      </c>
      <c r="BN33" s="189">
        <f t="shared" ref="BN33:BT33" si="65">+BN30-BN18-BN26</f>
        <v>285996.56788171048</v>
      </c>
      <c r="BO33" s="185">
        <f t="shared" si="65"/>
        <v>274997.56788171059</v>
      </c>
      <c r="BP33" s="185">
        <f t="shared" si="65"/>
        <v>274562.56788171054</v>
      </c>
      <c r="BQ33" s="185">
        <f t="shared" si="65"/>
        <v>313933.18843828945</v>
      </c>
      <c r="BR33" s="185">
        <f t="shared" si="65"/>
        <v>313033.18843828957</v>
      </c>
      <c r="BS33" s="185">
        <f t="shared" si="65"/>
        <v>332296.18843828957</v>
      </c>
      <c r="BT33" s="185">
        <f t="shared" si="65"/>
        <v>361136.18843828957</v>
      </c>
      <c r="BU33" s="185">
        <f t="shared" ref="BU33:BZ33" si="66">+BU30-BU18-BU26</f>
        <v>362559.05043828947</v>
      </c>
      <c r="BV33" s="185">
        <f t="shared" si="66"/>
        <v>361388.67643828952</v>
      </c>
      <c r="BW33" s="185">
        <f t="shared" si="66"/>
        <v>370082.30013828957</v>
      </c>
      <c r="BX33" s="13">
        <f t="shared" si="66"/>
        <v>375547.86013828963</v>
      </c>
      <c r="BY33" s="185">
        <f t="shared" si="66"/>
        <v>375459.8641382897</v>
      </c>
      <c r="BZ33" s="185">
        <f t="shared" si="66"/>
        <v>391763.92830495629</v>
      </c>
      <c r="CA33" s="185">
        <f t="shared" ref="CA33:CF33" si="67">+CA30-CA18-CA26</f>
        <v>392105.36430495628</v>
      </c>
      <c r="CB33" s="185">
        <f t="shared" si="67"/>
        <v>391727.58830495627</v>
      </c>
      <c r="CC33" s="185">
        <f t="shared" si="67"/>
        <v>391068.18830495607</v>
      </c>
      <c r="CD33" s="185">
        <f t="shared" si="67"/>
        <v>437598.70420181716</v>
      </c>
      <c r="CE33" s="185">
        <f t="shared" si="67"/>
        <v>437845.97565505491</v>
      </c>
      <c r="CF33" s="185">
        <f t="shared" si="67"/>
        <v>442089.50369236094</v>
      </c>
      <c r="CG33" s="185">
        <f t="shared" ref="CG33:CL33" si="68">+CG30-CG18-CG26</f>
        <v>441985.0317296671</v>
      </c>
      <c r="CH33" s="185">
        <f t="shared" si="68"/>
        <v>462079.0621169731</v>
      </c>
      <c r="CI33" s="13">
        <f t="shared" si="68"/>
        <v>464184.90392192814</v>
      </c>
      <c r="CJ33" s="185">
        <f t="shared" si="68"/>
        <v>452352.56790495606</v>
      </c>
      <c r="CK33" s="185">
        <f t="shared" si="68"/>
        <v>451640.49873158889</v>
      </c>
      <c r="CL33" s="185">
        <f t="shared" si="68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  <c r="CS33" s="185">
        <f>+CS30-CS18-CS26</f>
        <v>869440.52450854843</v>
      </c>
      <c r="CT33" s="185">
        <f t="shared" ref="CT33:CU33" si="69">+CT30-CT18-CT26</f>
        <v>877393.25950854842</v>
      </c>
      <c r="CU33" s="185">
        <f t="shared" si="69"/>
        <v>877524.68950854836</v>
      </c>
    </row>
    <row r="34" spans="1:99">
      <c r="P34" s="8"/>
      <c r="AG34" s="371"/>
      <c r="AH34" s="8"/>
      <c r="AP34" s="8"/>
      <c r="BB34" s="2"/>
      <c r="BN34" s="2"/>
      <c r="BX34" s="8"/>
      <c r="CI34" s="8"/>
    </row>
    <row r="35" spans="1:99">
      <c r="A35" s="206"/>
      <c r="B35" s="109" t="s">
        <v>91</v>
      </c>
      <c r="C35" s="189">
        <f>+Chaves!F25</f>
        <v>149688.85618352744</v>
      </c>
      <c r="D35" s="185">
        <f t="shared" ref="D35:I35" si="70">+C35</f>
        <v>149688.85618352744</v>
      </c>
      <c r="E35" s="185">
        <f t="shared" si="70"/>
        <v>149688.85618352744</v>
      </c>
      <c r="F35" s="185">
        <f t="shared" si="70"/>
        <v>149688.85618352744</v>
      </c>
      <c r="G35" s="185">
        <f t="shared" si="70"/>
        <v>149688.85618352744</v>
      </c>
      <c r="H35" s="185">
        <f t="shared" si="70"/>
        <v>149688.85618352744</v>
      </c>
      <c r="I35" s="185">
        <f t="shared" si="70"/>
        <v>149688.85618352744</v>
      </c>
      <c r="J35" s="185">
        <f t="shared" ref="J35:O35" si="71">+I35</f>
        <v>149688.85618352744</v>
      </c>
      <c r="K35" s="185">
        <f t="shared" si="71"/>
        <v>149688.85618352744</v>
      </c>
      <c r="L35" s="185">
        <f t="shared" si="71"/>
        <v>149688.85618352744</v>
      </c>
      <c r="M35" s="185">
        <f t="shared" si="71"/>
        <v>149688.85618352744</v>
      </c>
      <c r="N35" s="185">
        <f t="shared" si="71"/>
        <v>149688.85618352744</v>
      </c>
      <c r="O35" s="185">
        <f t="shared" si="71"/>
        <v>149688.85618352744</v>
      </c>
      <c r="P35" s="13">
        <f t="shared" ref="P35:U35" si="72">+O35</f>
        <v>149688.85618352744</v>
      </c>
      <c r="Q35" s="185">
        <f t="shared" si="72"/>
        <v>149688.85618352744</v>
      </c>
      <c r="R35" s="185">
        <f t="shared" si="72"/>
        <v>149688.85618352744</v>
      </c>
      <c r="S35" s="185">
        <f t="shared" si="72"/>
        <v>149688.85618352744</v>
      </c>
      <c r="T35" s="185">
        <f t="shared" si="72"/>
        <v>149688.85618352744</v>
      </c>
      <c r="U35" s="185">
        <f t="shared" si="72"/>
        <v>149688.85618352744</v>
      </c>
      <c r="V35" s="185">
        <f t="shared" ref="V35:AA35" si="73">+U35</f>
        <v>149688.85618352744</v>
      </c>
      <c r="W35" s="185">
        <f t="shared" si="73"/>
        <v>149688.85618352744</v>
      </c>
      <c r="X35" s="185">
        <f t="shared" si="73"/>
        <v>149688.85618352744</v>
      </c>
      <c r="Y35" s="185">
        <f t="shared" si="73"/>
        <v>149688.85618352744</v>
      </c>
      <c r="Z35" s="185">
        <f t="shared" si="73"/>
        <v>149688.85618352744</v>
      </c>
      <c r="AA35" s="185">
        <f t="shared" si="73"/>
        <v>149688.85618352744</v>
      </c>
      <c r="AB35" s="185">
        <f t="shared" ref="AB35:AG35" si="74">+AA35</f>
        <v>149688.85618352744</v>
      </c>
      <c r="AC35" s="185">
        <f t="shared" si="74"/>
        <v>149688.85618352744</v>
      </c>
      <c r="AD35" s="185">
        <f t="shared" si="74"/>
        <v>149688.85618352744</v>
      </c>
      <c r="AE35" s="185">
        <f t="shared" si="74"/>
        <v>149688.85618352744</v>
      </c>
      <c r="AF35" s="185">
        <f t="shared" si="74"/>
        <v>149688.85618352744</v>
      </c>
      <c r="AG35" s="374">
        <f t="shared" si="74"/>
        <v>149688.85618352744</v>
      </c>
      <c r="AH35" s="13">
        <f t="shared" ref="AH35:AM35" si="75">+AG35</f>
        <v>149688.85618352744</v>
      </c>
      <c r="AI35" s="185">
        <f t="shared" si="75"/>
        <v>149688.85618352744</v>
      </c>
      <c r="AJ35" s="185">
        <f t="shared" si="75"/>
        <v>149688.85618352744</v>
      </c>
      <c r="AK35" s="185">
        <f t="shared" si="75"/>
        <v>149688.85618352744</v>
      </c>
      <c r="AL35" s="185">
        <f t="shared" si="75"/>
        <v>149688.85618352744</v>
      </c>
      <c r="AM35" s="185">
        <f t="shared" si="75"/>
        <v>149688.85618352744</v>
      </c>
      <c r="AN35" s="185">
        <f t="shared" ref="AN35:AS35" si="76">+AM35</f>
        <v>149688.85618352744</v>
      </c>
      <c r="AO35" s="185">
        <f t="shared" si="76"/>
        <v>149688.85618352744</v>
      </c>
      <c r="AP35" s="13">
        <f t="shared" si="76"/>
        <v>149688.85618352744</v>
      </c>
      <c r="AQ35" s="185">
        <f t="shared" si="76"/>
        <v>149688.85618352744</v>
      </c>
      <c r="AR35" s="185">
        <f t="shared" si="76"/>
        <v>149688.85618352744</v>
      </c>
      <c r="AS35" s="185">
        <f t="shared" si="76"/>
        <v>149688.85618352744</v>
      </c>
      <c r="AT35" s="185">
        <f t="shared" ref="AT35:AY35" si="77">+AS35</f>
        <v>149688.85618352744</v>
      </c>
      <c r="AU35" s="185">
        <f t="shared" si="77"/>
        <v>149688.85618352744</v>
      </c>
      <c r="AV35" s="185">
        <f t="shared" si="77"/>
        <v>149688.85618352744</v>
      </c>
      <c r="AW35" s="185">
        <f t="shared" si="77"/>
        <v>149688.85618352744</v>
      </c>
      <c r="AX35" s="185">
        <f t="shared" si="77"/>
        <v>149688.85618352744</v>
      </c>
      <c r="AY35" s="185">
        <f t="shared" si="77"/>
        <v>149688.85618352744</v>
      </c>
      <c r="AZ35" s="185">
        <f t="shared" ref="AZ35:BE35" si="78">+AY35</f>
        <v>149688.85618352744</v>
      </c>
      <c r="BA35" s="185">
        <f t="shared" si="78"/>
        <v>149688.85618352744</v>
      </c>
      <c r="BB35" s="189">
        <f t="shared" si="78"/>
        <v>149688.85618352744</v>
      </c>
      <c r="BC35" s="185">
        <f t="shared" si="78"/>
        <v>149688.85618352744</v>
      </c>
      <c r="BD35" s="185">
        <f t="shared" si="78"/>
        <v>149688.85618352744</v>
      </c>
      <c r="BE35" s="185">
        <f t="shared" si="78"/>
        <v>149688.85618352744</v>
      </c>
      <c r="BF35" s="185">
        <f t="shared" ref="BF35:BK35" si="79">+BE35</f>
        <v>149688.85618352744</v>
      </c>
      <c r="BG35" s="185">
        <f t="shared" si="79"/>
        <v>149688.85618352744</v>
      </c>
      <c r="BH35" s="185">
        <f t="shared" si="79"/>
        <v>149688.85618352744</v>
      </c>
      <c r="BI35" s="185">
        <f t="shared" si="79"/>
        <v>149688.85618352744</v>
      </c>
      <c r="BJ35" s="185">
        <f t="shared" si="79"/>
        <v>149688.85618352744</v>
      </c>
      <c r="BK35" s="185">
        <f t="shared" si="79"/>
        <v>149688.85618352744</v>
      </c>
      <c r="BL35" s="185">
        <f t="shared" ref="BL35:BQ35" si="80">+BK35</f>
        <v>149688.85618352744</v>
      </c>
      <c r="BM35" s="185">
        <f t="shared" si="80"/>
        <v>149688.85618352744</v>
      </c>
      <c r="BN35" s="189">
        <f t="shared" si="80"/>
        <v>149688.85618352744</v>
      </c>
      <c r="BO35" s="185">
        <f t="shared" si="80"/>
        <v>149688.85618352744</v>
      </c>
      <c r="BP35" s="185">
        <f t="shared" si="80"/>
        <v>149688.85618352744</v>
      </c>
      <c r="BQ35" s="185">
        <f t="shared" si="80"/>
        <v>149688.85618352744</v>
      </c>
      <c r="BR35" s="185">
        <f t="shared" ref="BR35:BW35" si="81">+BQ35</f>
        <v>149688.85618352744</v>
      </c>
      <c r="BS35" s="185">
        <f t="shared" si="81"/>
        <v>149688.85618352744</v>
      </c>
      <c r="BT35" s="185">
        <f t="shared" si="81"/>
        <v>149688.85618352744</v>
      </c>
      <c r="BU35" s="185">
        <f t="shared" si="81"/>
        <v>149688.85618352744</v>
      </c>
      <c r="BV35" s="185">
        <f t="shared" si="81"/>
        <v>149688.85618352744</v>
      </c>
      <c r="BW35" s="185">
        <f t="shared" si="81"/>
        <v>149688.85618352744</v>
      </c>
      <c r="BX35" s="13">
        <f t="shared" ref="BX35:CD35" si="82">+BW35</f>
        <v>149688.85618352744</v>
      </c>
      <c r="BY35" s="185">
        <f t="shared" si="82"/>
        <v>149688.85618352744</v>
      </c>
      <c r="BZ35" s="185">
        <f t="shared" si="82"/>
        <v>149688.85618352744</v>
      </c>
      <c r="CA35" s="185">
        <f t="shared" si="82"/>
        <v>149688.85618352744</v>
      </c>
      <c r="CB35" s="185">
        <f t="shared" si="82"/>
        <v>149688.85618352744</v>
      </c>
      <c r="CC35" s="185">
        <f t="shared" si="82"/>
        <v>149688.85618352744</v>
      </c>
      <c r="CD35" s="185">
        <f t="shared" si="82"/>
        <v>149688.85618352744</v>
      </c>
      <c r="CE35" s="185">
        <f t="shared" ref="CE35:CJ35" si="83">+CD35</f>
        <v>149688.85618352744</v>
      </c>
      <c r="CF35" s="185">
        <f t="shared" si="83"/>
        <v>149688.85618352744</v>
      </c>
      <c r="CG35" s="185">
        <f t="shared" si="83"/>
        <v>149688.85618352744</v>
      </c>
      <c r="CH35" s="185">
        <f t="shared" si="83"/>
        <v>149688.85618352744</v>
      </c>
      <c r="CI35" s="13">
        <f t="shared" si="83"/>
        <v>149688.85618352744</v>
      </c>
      <c r="CJ35" s="185">
        <f t="shared" si="83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  <c r="CS35" s="185">
        <f>+CR35</f>
        <v>149688.85618352744</v>
      </c>
      <c r="CT35" s="185">
        <f t="shared" ref="CT35:CU35" si="84">+CS35</f>
        <v>149688.85618352744</v>
      </c>
      <c r="CU35" s="185">
        <f t="shared" si="84"/>
        <v>149688.85618352744</v>
      </c>
    </row>
    <row r="36" spans="1:99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S36" si="85">+(CB10/C10)^(1/6)-1</f>
        <v>0.28990644446415725</v>
      </c>
      <c r="CC36" s="176">
        <f t="shared" si="85"/>
        <v>0.29575360707821496</v>
      </c>
      <c r="CD36" s="176">
        <f t="shared" si="85"/>
        <v>0.30429442401189433</v>
      </c>
      <c r="CE36" s="176">
        <f t="shared" si="85"/>
        <v>0.30528279829258786</v>
      </c>
      <c r="CF36" s="176">
        <f t="shared" si="85"/>
        <v>0.30776299934490581</v>
      </c>
      <c r="CG36" s="176">
        <f t="shared" si="85"/>
        <v>0.30932565131010259</v>
      </c>
      <c r="CH36" s="176">
        <f t="shared" si="85"/>
        <v>0.30627328739108028</v>
      </c>
      <c r="CI36" s="176">
        <f t="shared" si="85"/>
        <v>0.31100956299927329</v>
      </c>
      <c r="CJ36" s="176">
        <f t="shared" si="85"/>
        <v>0.311295499336536</v>
      </c>
      <c r="CK36" s="176">
        <f t="shared" si="85"/>
        <v>0.30873226260728504</v>
      </c>
      <c r="CL36" s="176">
        <f t="shared" si="85"/>
        <v>0.30380267704988295</v>
      </c>
      <c r="CM36" s="176">
        <f t="shared" si="85"/>
        <v>0.30282732747025642</v>
      </c>
      <c r="CN36" s="176">
        <f t="shared" si="85"/>
        <v>0.39662093332081683</v>
      </c>
      <c r="CO36" s="176">
        <v>0.39402871546799134</v>
      </c>
      <c r="CP36" s="176">
        <f t="shared" si="85"/>
        <v>0.38835545598832311</v>
      </c>
      <c r="CQ36" s="176">
        <f t="shared" si="85"/>
        <v>0.38759035394631902</v>
      </c>
      <c r="CR36" s="176">
        <f t="shared" si="85"/>
        <v>0.38844174326094461</v>
      </c>
      <c r="CS36" s="176">
        <f t="shared" si="85"/>
        <v>0.38406318798511241</v>
      </c>
      <c r="CT36" s="830">
        <f t="shared" ref="CT36" si="86">+(CT10/U10)^(1/6)-1</f>
        <v>0.38501138627175058</v>
      </c>
      <c r="CU36" s="830">
        <f t="shared" ref="CU36" si="87">+(CU10/V10)^(1/6)-1</f>
        <v>0.39530838832703918</v>
      </c>
    </row>
    <row r="37" spans="1:99">
      <c r="M37" s="12"/>
    </row>
    <row r="38" spans="1:99">
      <c r="AA38" s="12"/>
    </row>
    <row r="40" spans="1:99">
      <c r="X40" s="12"/>
      <c r="BH40" s="308"/>
    </row>
    <row r="43" spans="1:99">
      <c r="AE43" s="1">
        <v>92</v>
      </c>
      <c r="AJ43" s="107">
        <v>3234.49</v>
      </c>
    </row>
    <row r="44" spans="1:99">
      <c r="AE44" s="1">
        <f>+AE43*0.66*0.25</f>
        <v>15.180000000000001</v>
      </c>
    </row>
    <row r="66" spans="2:91">
      <c r="B66" s="198" t="s">
        <v>168</v>
      </c>
      <c r="C66" s="12">
        <f>+C13</f>
        <v>45081.47</v>
      </c>
      <c r="D66" s="12">
        <f t="shared" ref="D66:BO66" si="88">+D13</f>
        <v>14907.71</v>
      </c>
      <c r="E66" s="12">
        <f t="shared" si="88"/>
        <v>27252.71</v>
      </c>
      <c r="F66" s="12">
        <f t="shared" si="88"/>
        <v>39742.230000000003</v>
      </c>
      <c r="G66" s="12">
        <f t="shared" si="88"/>
        <v>13642.12</v>
      </c>
      <c r="H66" s="12">
        <f t="shared" si="88"/>
        <v>29127.83</v>
      </c>
      <c r="I66" s="12">
        <f t="shared" si="88"/>
        <v>47956.31</v>
      </c>
      <c r="J66" s="12">
        <f t="shared" si="88"/>
        <v>73330.55</v>
      </c>
      <c r="K66" s="12">
        <f t="shared" si="88"/>
        <v>73330.55</v>
      </c>
      <c r="L66" s="12">
        <f t="shared" si="88"/>
        <v>85404.71</v>
      </c>
      <c r="M66" s="12">
        <f t="shared" si="88"/>
        <v>85404.71</v>
      </c>
      <c r="N66" s="12">
        <f t="shared" si="88"/>
        <v>85404.71</v>
      </c>
      <c r="O66" s="12">
        <f t="shared" si="88"/>
        <v>85404.71</v>
      </c>
      <c r="P66" s="12">
        <f t="shared" si="88"/>
        <v>91456.47</v>
      </c>
      <c r="Q66" s="12">
        <f t="shared" si="88"/>
        <v>91456.47</v>
      </c>
      <c r="R66" s="12">
        <f t="shared" si="88"/>
        <v>91456.47</v>
      </c>
      <c r="S66" s="12">
        <f t="shared" si="88"/>
        <v>91456.47</v>
      </c>
      <c r="T66" s="12">
        <f t="shared" si="88"/>
        <v>97661.32</v>
      </c>
      <c r="U66" s="12">
        <f t="shared" si="88"/>
        <v>97661.32</v>
      </c>
      <c r="V66" s="12">
        <f t="shared" si="88"/>
        <v>124409.8</v>
      </c>
      <c r="W66" s="12">
        <f t="shared" si="88"/>
        <v>124409.8</v>
      </c>
      <c r="X66" s="12">
        <f t="shared" si="88"/>
        <v>124409.8</v>
      </c>
      <c r="Y66" s="12">
        <f t="shared" si="88"/>
        <v>131476.73001995584</v>
      </c>
      <c r="Z66" s="12">
        <f t="shared" si="88"/>
        <v>137823.78433570397</v>
      </c>
      <c r="AA66" s="12">
        <f t="shared" si="88"/>
        <v>137823.78433570397</v>
      </c>
      <c r="AB66" s="12">
        <f t="shared" si="88"/>
        <v>137823.78433570397</v>
      </c>
      <c r="AC66" s="12">
        <f t="shared" si="88"/>
        <v>137823.78433570397</v>
      </c>
      <c r="AD66" s="12">
        <f t="shared" si="88"/>
        <v>137823.78433570397</v>
      </c>
      <c r="AE66" s="12">
        <f t="shared" si="88"/>
        <v>130068.33051296102</v>
      </c>
      <c r="AF66" s="12">
        <f t="shared" si="88"/>
        <v>130068.33051296102</v>
      </c>
      <c r="AG66" s="12">
        <f t="shared" si="88"/>
        <v>128368.89880197223</v>
      </c>
      <c r="AH66" s="12">
        <f t="shared" si="88"/>
        <v>115612.21572950466</v>
      </c>
      <c r="AI66" s="12">
        <f t="shared" si="88"/>
        <v>94510.365085740996</v>
      </c>
      <c r="AJ66" s="12">
        <f t="shared" si="88"/>
        <v>91671.595209058869</v>
      </c>
      <c r="AK66" s="12">
        <f t="shared" si="88"/>
        <v>109939.0400822752</v>
      </c>
      <c r="AL66" s="12">
        <f t="shared" si="88"/>
        <v>109914.09238732775</v>
      </c>
      <c r="AM66" s="12">
        <f t="shared" si="88"/>
        <v>119142.4425877027</v>
      </c>
      <c r="AN66" s="12">
        <f t="shared" si="88"/>
        <v>114355.73051842887</v>
      </c>
      <c r="AO66" s="12">
        <f t="shared" si="88"/>
        <v>114355.73051842887</v>
      </c>
      <c r="AP66" s="12">
        <f t="shared" si="88"/>
        <v>113232.51283602843</v>
      </c>
      <c r="AQ66" s="12">
        <f t="shared" si="88"/>
        <v>122788.27134433562</v>
      </c>
      <c r="AR66" s="12">
        <f t="shared" si="88"/>
        <v>133917.69318820868</v>
      </c>
      <c r="AS66" s="12">
        <f t="shared" si="88"/>
        <v>121778.26573662533</v>
      </c>
      <c r="AT66" s="12">
        <f t="shared" si="88"/>
        <v>121778.26573662533</v>
      </c>
      <c r="AU66" s="12">
        <f t="shared" si="88"/>
        <v>138527.04670933378</v>
      </c>
      <c r="AV66" s="12">
        <f t="shared" si="88"/>
        <v>130871.15840959529</v>
      </c>
      <c r="AW66" s="12">
        <f t="shared" si="88"/>
        <v>121805.18753022964</v>
      </c>
      <c r="AX66" s="12">
        <f t="shared" si="88"/>
        <v>107518.56434466105</v>
      </c>
      <c r="AY66" s="12">
        <f t="shared" si="88"/>
        <v>114505.66056821276</v>
      </c>
      <c r="AZ66" s="12">
        <f t="shared" si="88"/>
        <v>114505.66056821276</v>
      </c>
      <c r="BA66" s="12">
        <f t="shared" si="88"/>
        <v>114505.66056821276</v>
      </c>
      <c r="BB66" s="12">
        <f t="shared" si="88"/>
        <v>114505.66056821276</v>
      </c>
      <c r="BC66" s="12">
        <f t="shared" si="88"/>
        <v>114505.66056821276</v>
      </c>
      <c r="BD66" s="12">
        <f t="shared" si="88"/>
        <v>144863.86056821275</v>
      </c>
      <c r="BE66" s="12">
        <f t="shared" si="88"/>
        <v>144863.86056821275</v>
      </c>
      <c r="BF66" s="12">
        <f t="shared" si="88"/>
        <v>120929.71665912184</v>
      </c>
      <c r="BG66" s="12">
        <f t="shared" si="88"/>
        <v>80020.161150788495</v>
      </c>
      <c r="BH66" s="12">
        <f t="shared" si="88"/>
        <v>80020.161150788495</v>
      </c>
      <c r="BI66" s="12">
        <f t="shared" si="88"/>
        <v>80020.161150788495</v>
      </c>
      <c r="BJ66" s="12">
        <f t="shared" si="88"/>
        <v>57802.206559879414</v>
      </c>
      <c r="BK66" s="12">
        <f t="shared" si="88"/>
        <v>42278.450591794302</v>
      </c>
      <c r="BL66" s="12">
        <f t="shared" si="88"/>
        <v>42278.450591794302</v>
      </c>
      <c r="BM66" s="12">
        <f t="shared" si="88"/>
        <v>42278.450591794302</v>
      </c>
      <c r="BN66" s="12">
        <f t="shared" si="88"/>
        <v>48291.000591794305</v>
      </c>
      <c r="BO66" s="12">
        <f t="shared" si="88"/>
        <v>48291.000591794305</v>
      </c>
      <c r="BP66" s="12">
        <f t="shared" ref="BP66:CM66" si="89">+BP13</f>
        <v>48291.000591794305</v>
      </c>
      <c r="BQ66" s="12">
        <f t="shared" si="89"/>
        <v>31804.781148373255</v>
      </c>
      <c r="BR66" s="12">
        <f t="shared" si="89"/>
        <v>31804.781148373255</v>
      </c>
      <c r="BS66" s="12">
        <f t="shared" si="89"/>
        <v>31804.781148373255</v>
      </c>
      <c r="BT66" s="12">
        <f t="shared" si="89"/>
        <v>31804.781148373255</v>
      </c>
      <c r="BU66" s="12">
        <f t="shared" si="89"/>
        <v>64086.781148373251</v>
      </c>
      <c r="BV66" s="12">
        <f t="shared" si="89"/>
        <v>31804.781148373255</v>
      </c>
      <c r="BW66" s="12">
        <f t="shared" si="89"/>
        <v>58319.604848373245</v>
      </c>
      <c r="BX66" s="12">
        <f t="shared" si="89"/>
        <v>120593.89484837324</v>
      </c>
      <c r="BY66" s="12">
        <f t="shared" si="89"/>
        <v>112838.21651503992</v>
      </c>
      <c r="BZ66" s="12">
        <f t="shared" si="89"/>
        <v>84834.029848373248</v>
      </c>
      <c r="CA66" s="12">
        <f t="shared" si="89"/>
        <v>118224.78984837326</v>
      </c>
      <c r="CB66" s="12">
        <f t="shared" si="89"/>
        <v>111121.51984837327</v>
      </c>
      <c r="CC66" s="12">
        <f t="shared" si="89"/>
        <v>111121.51984837327</v>
      </c>
      <c r="CD66" s="12">
        <f t="shared" si="89"/>
        <v>114466.47484837325</v>
      </c>
      <c r="CE66" s="12">
        <f t="shared" si="89"/>
        <v>114466.47484837325</v>
      </c>
      <c r="CF66" s="12">
        <f t="shared" si="89"/>
        <v>114466.47484837325</v>
      </c>
      <c r="CG66" s="12">
        <f t="shared" si="89"/>
        <v>114466.47484837325</v>
      </c>
      <c r="CH66" s="12">
        <f t="shared" si="89"/>
        <v>135233.09359837329</v>
      </c>
      <c r="CI66" s="12">
        <f t="shared" si="89"/>
        <v>149458.26484837331</v>
      </c>
      <c r="CJ66" s="12">
        <f t="shared" si="89"/>
        <v>91063.404848373248</v>
      </c>
      <c r="CK66" s="12">
        <f t="shared" si="89"/>
        <v>164525.39500000002</v>
      </c>
      <c r="CL66" s="12">
        <f t="shared" si="89"/>
        <v>177509.99500000002</v>
      </c>
      <c r="CM66" s="12">
        <f t="shared" si="89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0" t="s">
        <v>347</v>
      </c>
      <c r="C2" s="447">
        <v>0.24408458354432561</v>
      </c>
    </row>
    <row r="4" spans="2:4">
      <c r="B4" s="21" t="s">
        <v>427</v>
      </c>
      <c r="C4" s="217" t="s">
        <v>334</v>
      </c>
      <c r="D4" s="387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2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7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2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2" t="s">
        <v>434</v>
      </c>
      <c r="C25" s="185"/>
      <c r="D25" s="13">
        <f>+D23+D17</f>
        <v>51758.999999999993</v>
      </c>
      <c r="E25" s="449">
        <v>51759</v>
      </c>
    </row>
    <row r="26" spans="2:5">
      <c r="B26" s="412" t="s">
        <v>435</v>
      </c>
      <c r="C26" s="448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0" t="s">
        <v>347</v>
      </c>
      <c r="C28" s="411">
        <v>0.25</v>
      </c>
      <c r="D28" s="5"/>
    </row>
    <row r="29" spans="2:5">
      <c r="B29" s="3"/>
      <c r="C29" s="5"/>
      <c r="D29" s="5"/>
    </row>
    <row r="30" spans="2:5">
      <c r="B30" s="412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6" t="s">
        <v>433</v>
      </c>
      <c r="C33" s="197"/>
      <c r="D33" s="296">
        <v>45123</v>
      </c>
      <c r="E33" s="1">
        <v>45123</v>
      </c>
    </row>
    <row r="34" spans="2:5">
      <c r="B34" s="446" t="s">
        <v>435</v>
      </c>
      <c r="C34" s="450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22">
        <v>9597</v>
      </c>
      <c r="E38" s="451">
        <v>40071</v>
      </c>
    </row>
    <row r="39" spans="2:5">
      <c r="B39" s="412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43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2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21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9" t="s">
        <v>350</v>
      </c>
      <c r="C50" s="127"/>
      <c r="D50" s="422">
        <v>800</v>
      </c>
      <c r="E50" s="451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8" zoomScale="115" zoomScaleNormal="115" workbookViewId="0">
      <selection activeCell="D66" sqref="D66:E68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0" t="s">
        <v>656</v>
      </c>
      <c r="C2" s="651">
        <v>0.246</v>
      </c>
    </row>
    <row r="4" spans="2:7">
      <c r="B4" s="21" t="s">
        <v>427</v>
      </c>
      <c r="C4" s="217" t="s">
        <v>627</v>
      </c>
      <c r="D4" s="387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626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52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45"/>
    </row>
    <row r="17" spans="1:5" ht="12" customHeight="1">
      <c r="A17" s="653" t="s">
        <v>81</v>
      </c>
      <c r="B17" s="412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653</v>
      </c>
      <c r="C19" s="217"/>
      <c r="D19" s="387"/>
      <c r="E19" s="12"/>
    </row>
    <row r="20" spans="1:5">
      <c r="A20" s="21"/>
      <c r="B20" s="205" t="s">
        <v>655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52">
        <v>0</v>
      </c>
      <c r="D21" s="11">
        <f t="shared" si="1"/>
        <v>0</v>
      </c>
      <c r="E21" s="12"/>
    </row>
    <row r="22" spans="1:5">
      <c r="A22" s="653" t="s">
        <v>83</v>
      </c>
      <c r="B22" s="412"/>
      <c r="C22" s="185">
        <f>SUM(C20:C21)</f>
        <v>3000</v>
      </c>
      <c r="D22" s="13">
        <f>SUM(D20:D21)</f>
        <v>738</v>
      </c>
      <c r="E22" s="12"/>
    </row>
    <row r="23" spans="1:5">
      <c r="A23" s="653"/>
      <c r="B23" s="3"/>
      <c r="C23" s="5"/>
      <c r="D23" s="5"/>
      <c r="E23" s="12"/>
    </row>
    <row r="24" spans="1:5">
      <c r="A24" s="653" t="s">
        <v>659</v>
      </c>
      <c r="B24" s="412" t="s">
        <v>658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3" t="s">
        <v>660</v>
      </c>
      <c r="B26" s="412" t="s">
        <v>429</v>
      </c>
      <c r="C26" s="87">
        <v>37946</v>
      </c>
      <c r="D26" s="13">
        <f>+C26*E26</f>
        <v>6830.28</v>
      </c>
      <c r="E26" s="654">
        <v>0.18</v>
      </c>
    </row>
    <row r="27" spans="1:5">
      <c r="B27" s="3"/>
      <c r="C27" s="5"/>
      <c r="D27" s="5"/>
    </row>
    <row r="28" spans="1:5">
      <c r="A28" s="653" t="s">
        <v>661</v>
      </c>
      <c r="B28" s="412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2" t="s">
        <v>432</v>
      </c>
      <c r="C30" s="5"/>
      <c r="D30" s="5"/>
    </row>
    <row r="31" spans="1:5">
      <c r="B31" s="3"/>
      <c r="C31" s="5"/>
      <c r="D31" s="5"/>
    </row>
    <row r="32" spans="1:5">
      <c r="B32" s="558" t="s">
        <v>529</v>
      </c>
      <c r="C32" s="559"/>
      <c r="D32" s="56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58" t="s">
        <v>531</v>
      </c>
      <c r="C36" s="559"/>
      <c r="D36" s="56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53" t="s">
        <v>664</v>
      </c>
      <c r="B41" s="412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3" t="s">
        <v>665</v>
      </c>
      <c r="B43" s="412" t="s">
        <v>662</v>
      </c>
      <c r="C43" s="87"/>
      <c r="D43" s="13">
        <v>1042</v>
      </c>
      <c r="E43" s="1" t="s">
        <v>663</v>
      </c>
    </row>
    <row r="44" spans="1:5">
      <c r="B44" s="3"/>
      <c r="C44" s="5"/>
      <c r="D44" s="5"/>
    </row>
    <row r="45" spans="1:5">
      <c r="A45" s="653" t="s">
        <v>666</v>
      </c>
      <c r="B45" s="446" t="s">
        <v>654</v>
      </c>
      <c r="C45" s="197"/>
      <c r="D45" s="296">
        <f>+D28-D41-D43</f>
        <v>21164.65572000001</v>
      </c>
    </row>
    <row r="47" spans="1:5">
      <c r="B47" s="650" t="s">
        <v>657</v>
      </c>
      <c r="C47" s="651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53" t="s">
        <v>667</v>
      </c>
      <c r="B52" s="446" t="s">
        <v>435</v>
      </c>
      <c r="C52" s="450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22">
        <v>7165</v>
      </c>
      <c r="E56" s="1" t="s">
        <v>718</v>
      </c>
    </row>
    <row r="57" spans="1:5">
      <c r="B57" s="412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43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2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21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9" t="s">
        <v>350</v>
      </c>
      <c r="C68" s="127"/>
      <c r="D68" s="422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2011-01-03T13:29:46Z</dcterms:modified>
</cp:coreProperties>
</file>