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12870" windowHeight="5175" tabRatio="745" activeTab="5"/>
  </bookViews>
  <sheets>
    <sheet name="Patr." sheetId="1" r:id="rId1"/>
    <sheet name="Acc" sheetId="2" r:id="rId2"/>
    <sheet name="Banque Pop" sheetId="19" r:id="rId3"/>
    <sheet name="Otros" sheetId="8" r:id="rId4"/>
    <sheet name="Mama" sheetId="11" r:id="rId5"/>
    <sheet name="Evol" sheetId="3" r:id="rId6"/>
    <sheet name="Imp08" sheetId="13" r:id="rId7"/>
    <sheet name="Imp09" sheetId="20" r:id="rId8"/>
    <sheet name="Imp10" sheetId="21" r:id="rId9"/>
    <sheet name="Crono" sheetId="12" r:id="rId10"/>
    <sheet name="E.Salariale" sheetId="15" r:id="rId11"/>
    <sheet name="retraite" sheetId="17" r:id="rId12"/>
    <sheet name="Patr. (N-1)" sheetId="16" r:id="rId13"/>
    <sheet name="Rabelais" sheetId="10" r:id="rId14"/>
    <sheet name="Chaves" sheetId="4" r:id="rId15"/>
    <sheet name="G. Chaves" sheetId="5" r:id="rId16"/>
  </sheets>
  <definedNames>
    <definedName name="_xlnm.Print_Area" localSheetId="1">Acc!$A$1:$Q$191</definedName>
    <definedName name="_xlnm.Print_Area" localSheetId="14">Chaves!$A$1:$H$18</definedName>
    <definedName name="_xlnm.Print_Area" localSheetId="10">E.Salariale!$A$3:$J$41</definedName>
    <definedName name="_xlnm.Print_Area" localSheetId="5">Evol!$B$2:$X$62</definedName>
    <definedName name="_xlnm.Print_Area" localSheetId="4">Mama!$A$1:$H$51</definedName>
    <definedName name="_xlnm.Print_Area" localSheetId="0">Patr.!$A$1:$G$73</definedName>
    <definedName name="_xlnm.Print_Area" localSheetId="12">'Patr. (N-1)'!$A$1:$G$73</definedName>
    <definedName name="_xlnm.Print_Area" localSheetId="13">Rabelais!$A$2:$F$40</definedName>
  </definedNames>
  <calcPr calcId="125725"/>
</workbook>
</file>

<file path=xl/calcChain.xml><?xml version="1.0" encoding="utf-8"?>
<calcChain xmlns="http://schemas.openxmlformats.org/spreadsheetml/2006/main">
  <c r="CP36" i="3"/>
  <c r="CP35"/>
  <c r="CP29"/>
  <c r="CP30" s="1"/>
  <c r="CP31" s="1"/>
  <c r="CP25"/>
  <c r="CP23"/>
  <c r="CP22"/>
  <c r="CP15"/>
  <c r="CP14"/>
  <c r="CP11"/>
  <c r="F42" i="2"/>
  <c r="F43"/>
  <c r="F44"/>
  <c r="F45"/>
  <c r="F46"/>
  <c r="F47"/>
  <c r="F48"/>
  <c r="F49"/>
  <c r="F50"/>
  <c r="F51"/>
  <c r="F52"/>
  <c r="F53"/>
  <c r="E38" i="11"/>
  <c r="E35"/>
  <c r="H28" i="2"/>
  <c r="H27"/>
  <c r="K28"/>
  <c r="I28"/>
  <c r="J28" s="1"/>
  <c r="K27"/>
  <c r="I27"/>
  <c r="N34" i="1"/>
  <c r="N33"/>
  <c r="N32"/>
  <c r="N31"/>
  <c r="N30"/>
  <c r="N29"/>
  <c r="N28"/>
  <c r="N26"/>
  <c r="E34"/>
  <c r="CP26" i="3" l="1"/>
  <c r="M28" i="2"/>
  <c r="L28"/>
  <c r="J27"/>
  <c r="L27"/>
  <c r="M27"/>
  <c r="D57" i="21" l="1"/>
  <c r="D51"/>
  <c r="C51"/>
  <c r="C50"/>
  <c r="D50" s="1"/>
  <c r="D49"/>
  <c r="C49"/>
  <c r="C47"/>
  <c r="C40"/>
  <c r="C41" s="1"/>
  <c r="D39"/>
  <c r="D38"/>
  <c r="D37"/>
  <c r="D34"/>
  <c r="D33"/>
  <c r="D35" s="1"/>
  <c r="D26"/>
  <c r="C22"/>
  <c r="D21"/>
  <c r="D22" s="1"/>
  <c r="D20"/>
  <c r="C17"/>
  <c r="D16"/>
  <c r="D15"/>
  <c r="D14"/>
  <c r="D13"/>
  <c r="D12"/>
  <c r="D11"/>
  <c r="D10"/>
  <c r="D9"/>
  <c r="D8"/>
  <c r="D7"/>
  <c r="D6"/>
  <c r="D5"/>
  <c r="E8" i="1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I97" i="8"/>
  <c r="H106"/>
  <c r="I106" s="1"/>
  <c r="D21" i="19"/>
  <c r="H21" s="1"/>
  <c r="C29" i="1" s="1"/>
  <c r="L29" s="1"/>
  <c r="H26" i="2"/>
  <c r="I26" s="1"/>
  <c r="K26"/>
  <c r="H25"/>
  <c r="G25"/>
  <c r="K25"/>
  <c r="O85" i="15"/>
  <c r="O84"/>
  <c r="O83"/>
  <c r="E105"/>
  <c r="H105" s="1"/>
  <c r="H24" i="2"/>
  <c r="I24" s="1"/>
  <c r="J24" s="1"/>
  <c r="K24"/>
  <c r="Z52"/>
  <c r="Z51"/>
  <c r="Z50"/>
  <c r="Z47"/>
  <c r="Z43"/>
  <c r="Z41"/>
  <c r="W53"/>
  <c r="W52"/>
  <c r="W51"/>
  <c r="W50"/>
  <c r="W49"/>
  <c r="W48"/>
  <c r="W47"/>
  <c r="W46"/>
  <c r="W45"/>
  <c r="W44"/>
  <c r="W43"/>
  <c r="W42"/>
  <c r="W41"/>
  <c r="AD52"/>
  <c r="AD51"/>
  <c r="AD50"/>
  <c r="AD49"/>
  <c r="AD48"/>
  <c r="AD47"/>
  <c r="AD46"/>
  <c r="AD45"/>
  <c r="AD44"/>
  <c r="AD43"/>
  <c r="AD42"/>
  <c r="AD41"/>
  <c r="AD53"/>
  <c r="X53"/>
  <c r="AA53" s="1"/>
  <c r="X52"/>
  <c r="AC52" s="1"/>
  <c r="X51"/>
  <c r="AA51" s="1"/>
  <c r="AA50"/>
  <c r="X50"/>
  <c r="AC50" s="1"/>
  <c r="X49"/>
  <c r="AA49" s="1"/>
  <c r="AA48"/>
  <c r="X48"/>
  <c r="AC48" s="1"/>
  <c r="X47"/>
  <c r="AA47" s="1"/>
  <c r="X46"/>
  <c r="Z46" s="1"/>
  <c r="X45"/>
  <c r="AA45" s="1"/>
  <c r="X44"/>
  <c r="AC44" s="1"/>
  <c r="X43"/>
  <c r="AA43" s="1"/>
  <c r="X42"/>
  <c r="AC42" s="1"/>
  <c r="X41"/>
  <c r="CN36" i="3"/>
  <c r="CN29"/>
  <c r="CN30"/>
  <c r="CN31"/>
  <c r="CN25"/>
  <c r="CN26"/>
  <c r="CN23"/>
  <c r="CN22"/>
  <c r="CN17"/>
  <c r="CN15"/>
  <c r="CN14"/>
  <c r="CN11"/>
  <c r="E34" i="11"/>
  <c r="H105" i="8"/>
  <c r="I105"/>
  <c r="C31" i="1"/>
  <c r="L31" s="1"/>
  <c r="C30"/>
  <c r="L30" s="1"/>
  <c r="H23" i="19"/>
  <c r="H22"/>
  <c r="D22"/>
  <c r="H24" s="1"/>
  <c r="D23"/>
  <c r="D24"/>
  <c r="D25"/>
  <c r="D26"/>
  <c r="D27"/>
  <c r="H25" s="1"/>
  <c r="C33" i="1" s="1"/>
  <c r="L33" s="1"/>
  <c r="D28" i="19"/>
  <c r="M175" i="2"/>
  <c r="H175"/>
  <c r="N175"/>
  <c r="O175" s="1"/>
  <c r="I175"/>
  <c r="H23"/>
  <c r="I23" s="1"/>
  <c r="J23" s="1"/>
  <c r="H22"/>
  <c r="I22" s="1"/>
  <c r="J22" s="1"/>
  <c r="G22"/>
  <c r="G21"/>
  <c r="K23"/>
  <c r="M23" s="1"/>
  <c r="K22"/>
  <c r="K21"/>
  <c r="H21"/>
  <c r="I21"/>
  <c r="J21" s="1"/>
  <c r="K20"/>
  <c r="J20"/>
  <c r="H20"/>
  <c r="I20" s="1"/>
  <c r="CM36" i="3"/>
  <c r="CM29"/>
  <c r="CM14"/>
  <c r="CM22"/>
  <c r="CM23"/>
  <c r="CM15"/>
  <c r="CM11"/>
  <c r="H104" i="8"/>
  <c r="I104"/>
  <c r="CL36" i="3"/>
  <c r="F21" i="4"/>
  <c r="F31"/>
  <c r="CL29" i="3"/>
  <c r="CL14"/>
  <c r="CL22"/>
  <c r="CL23"/>
  <c r="CL15"/>
  <c r="CL11"/>
  <c r="H19" i="2"/>
  <c r="I19" s="1"/>
  <c r="J19" s="1"/>
  <c r="K19"/>
  <c r="K8"/>
  <c r="K9"/>
  <c r="L9" s="1"/>
  <c r="K11"/>
  <c r="K12"/>
  <c r="K13"/>
  <c r="K14"/>
  <c r="K15"/>
  <c r="K18"/>
  <c r="K10"/>
  <c r="K34" s="1"/>
  <c r="K16"/>
  <c r="M16" s="1"/>
  <c r="K17"/>
  <c r="G96" i="8"/>
  <c r="F9" i="11" s="1"/>
  <c r="F16" s="1"/>
  <c r="E40" s="1"/>
  <c r="G97" i="8"/>
  <c r="C12" i="1" s="1"/>
  <c r="L12" s="1"/>
  <c r="N131" i="2"/>
  <c r="I107"/>
  <c r="O96"/>
  <c r="H81"/>
  <c r="I81"/>
  <c r="N72"/>
  <c r="I72"/>
  <c r="M73"/>
  <c r="N73"/>
  <c r="H73"/>
  <c r="G73" s="1"/>
  <c r="I73" s="1"/>
  <c r="J73"/>
  <c r="M74"/>
  <c r="N74" s="1"/>
  <c r="H74"/>
  <c r="G74"/>
  <c r="I74" s="1"/>
  <c r="J74" s="1"/>
  <c r="M75"/>
  <c r="N75"/>
  <c r="H75"/>
  <c r="I75" s="1"/>
  <c r="J75" s="1"/>
  <c r="M76"/>
  <c r="N76"/>
  <c r="P76"/>
  <c r="Q76" s="1"/>
  <c r="H76"/>
  <c r="I76" s="1"/>
  <c r="M77"/>
  <c r="H77"/>
  <c r="I77" s="1"/>
  <c r="H78"/>
  <c r="I78"/>
  <c r="J78" s="1"/>
  <c r="M79"/>
  <c r="N79" s="1"/>
  <c r="H79"/>
  <c r="I79"/>
  <c r="M80"/>
  <c r="N80"/>
  <c r="O80" s="1"/>
  <c r="H80"/>
  <c r="I80" s="1"/>
  <c r="J80" s="1"/>
  <c r="L67"/>
  <c r="N67" s="1"/>
  <c r="O67" s="1"/>
  <c r="M67"/>
  <c r="G67"/>
  <c r="I67"/>
  <c r="P67" s="1"/>
  <c r="H67"/>
  <c r="M68"/>
  <c r="N68"/>
  <c r="I68"/>
  <c r="J68" s="1"/>
  <c r="M69"/>
  <c r="N69" s="1"/>
  <c r="O69" s="1"/>
  <c r="I69"/>
  <c r="L70"/>
  <c r="N70" s="1"/>
  <c r="M70"/>
  <c r="G70"/>
  <c r="H70"/>
  <c r="I70" s="1"/>
  <c r="J70" s="1"/>
  <c r="L71"/>
  <c r="M71"/>
  <c r="N71"/>
  <c r="I71"/>
  <c r="N64"/>
  <c r="P64"/>
  <c r="Q64" s="1"/>
  <c r="I64"/>
  <c r="J64" s="1"/>
  <c r="N65"/>
  <c r="I65"/>
  <c r="P65"/>
  <c r="Q65" s="1"/>
  <c r="N66"/>
  <c r="I66"/>
  <c r="P66"/>
  <c r="N62"/>
  <c r="O62" s="1"/>
  <c r="I62"/>
  <c r="N63"/>
  <c r="I63"/>
  <c r="N61"/>
  <c r="I61"/>
  <c r="J61" s="1"/>
  <c r="CK36" i="3"/>
  <c r="CK29"/>
  <c r="CK14"/>
  <c r="CK22"/>
  <c r="CK23"/>
  <c r="CK15"/>
  <c r="CK11"/>
  <c r="I8" i="2"/>
  <c r="I9"/>
  <c r="I41" s="1"/>
  <c r="M41" s="1"/>
  <c r="S41" s="1"/>
  <c r="H10"/>
  <c r="I10" s="1"/>
  <c r="H11"/>
  <c r="I11"/>
  <c r="G12"/>
  <c r="I12" s="1"/>
  <c r="J12" s="1"/>
  <c r="H13"/>
  <c r="I13"/>
  <c r="J13" s="1"/>
  <c r="H14"/>
  <c r="I14" s="1"/>
  <c r="G15"/>
  <c r="I15"/>
  <c r="H15"/>
  <c r="H16"/>
  <c r="I16"/>
  <c r="H17"/>
  <c r="I17" s="1"/>
  <c r="J17" s="1"/>
  <c r="H18"/>
  <c r="I18" s="1"/>
  <c r="H103" i="8"/>
  <c r="I103"/>
  <c r="C73" i="1"/>
  <c r="M169" i="2"/>
  <c r="N169"/>
  <c r="H169"/>
  <c r="I169" s="1"/>
  <c r="M170"/>
  <c r="N170"/>
  <c r="H170"/>
  <c r="I170"/>
  <c r="J170"/>
  <c r="M171"/>
  <c r="N171"/>
  <c r="H171"/>
  <c r="I171" s="1"/>
  <c r="J171" s="1"/>
  <c r="M172"/>
  <c r="N172"/>
  <c r="H172"/>
  <c r="I172"/>
  <c r="J172" s="1"/>
  <c r="M173"/>
  <c r="N173"/>
  <c r="P173"/>
  <c r="Q173" s="1"/>
  <c r="H173"/>
  <c r="I173"/>
  <c r="M174"/>
  <c r="N174" s="1"/>
  <c r="P174" s="1"/>
  <c r="Q174" s="1"/>
  <c r="H174"/>
  <c r="I174"/>
  <c r="J174"/>
  <c r="J173"/>
  <c r="C8" i="1"/>
  <c r="L8" s="1"/>
  <c r="L9"/>
  <c r="O171" i="2"/>
  <c r="I132" i="8"/>
  <c r="I133"/>
  <c r="E24" i="1"/>
  <c r="G95" i="8"/>
  <c r="C11" i="1"/>
  <c r="L11" s="1"/>
  <c r="H4" i="8"/>
  <c r="H12" s="1"/>
  <c r="G116"/>
  <c r="C16" i="1"/>
  <c r="L16" s="1"/>
  <c r="G134" i="8"/>
  <c r="C17" i="1"/>
  <c r="L17" s="1"/>
  <c r="C18"/>
  <c r="L18" s="1"/>
  <c r="L165" i="2"/>
  <c r="N165" s="1"/>
  <c r="M165"/>
  <c r="G165"/>
  <c r="I165" s="1"/>
  <c r="J165" s="1"/>
  <c r="H165"/>
  <c r="M166"/>
  <c r="N166" s="1"/>
  <c r="O166" s="1"/>
  <c r="F166"/>
  <c r="I166"/>
  <c r="M167"/>
  <c r="F167"/>
  <c r="N167"/>
  <c r="P167" s="1"/>
  <c r="Q167" s="1"/>
  <c r="I167"/>
  <c r="J167" s="1"/>
  <c r="M168"/>
  <c r="N168"/>
  <c r="P168" s="1"/>
  <c r="Q168" s="1"/>
  <c r="G168"/>
  <c r="I168" s="1"/>
  <c r="J168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J166" i="2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2" i="8"/>
  <c r="I102"/>
  <c r="F131"/>
  <c r="I134"/>
  <c r="H134"/>
  <c r="M164" i="2"/>
  <c r="N164" s="1"/>
  <c r="O164" s="1"/>
  <c r="G164"/>
  <c r="I164"/>
  <c r="J164" s="1"/>
  <c r="H164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3" i="8"/>
  <c r="I114"/>
  <c r="I115"/>
  <c r="I116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5"/>
  <c r="B49"/>
  <c r="B47"/>
  <c r="F4" i="8"/>
  <c r="M5"/>
  <c r="G12"/>
  <c r="F20"/>
  <c r="H20"/>
  <c r="I20"/>
  <c r="J20"/>
  <c r="I21"/>
  <c r="J21"/>
  <c r="D46"/>
  <c r="E71"/>
  <c r="E72"/>
  <c r="D74"/>
  <c r="H88"/>
  <c r="H97"/>
  <c r="D94"/>
  <c r="I94"/>
  <c r="G94"/>
  <c r="H94"/>
  <c r="D95"/>
  <c r="H95"/>
  <c r="I95"/>
  <c r="D96"/>
  <c r="D97"/>
  <c r="H116"/>
  <c r="J9" i="2"/>
  <c r="K50"/>
  <c r="I50"/>
  <c r="N50" s="1"/>
  <c r="I42"/>
  <c r="I43"/>
  <c r="N43" s="1"/>
  <c r="I47"/>
  <c r="N47" s="1"/>
  <c r="K42"/>
  <c r="K43"/>
  <c r="K48"/>
  <c r="K41"/>
  <c r="K52"/>
  <c r="K46"/>
  <c r="K45"/>
  <c r="K51"/>
  <c r="J62"/>
  <c r="J63"/>
  <c r="O64"/>
  <c r="J65"/>
  <c r="O65"/>
  <c r="J66"/>
  <c r="O66"/>
  <c r="Q66"/>
  <c r="O68"/>
  <c r="J69"/>
  <c r="J71"/>
  <c r="J72"/>
  <c r="O73"/>
  <c r="J76"/>
  <c r="O76"/>
  <c r="J79"/>
  <c r="J81"/>
  <c r="M81"/>
  <c r="N81" s="1"/>
  <c r="H82"/>
  <c r="I82" s="1"/>
  <c r="J82" s="1"/>
  <c r="M82"/>
  <c r="N82" s="1"/>
  <c r="O82" s="1"/>
  <c r="H83"/>
  <c r="I83"/>
  <c r="M83"/>
  <c r="N83"/>
  <c r="O83"/>
  <c r="H84"/>
  <c r="I84"/>
  <c r="J84" s="1"/>
  <c r="M84"/>
  <c r="N84"/>
  <c r="O84"/>
  <c r="H85"/>
  <c r="I85" s="1"/>
  <c r="J85" s="1"/>
  <c r="M85"/>
  <c r="N85" s="1"/>
  <c r="F86"/>
  <c r="I86"/>
  <c r="J86"/>
  <c r="M86"/>
  <c r="N86" s="1"/>
  <c r="O86" s="1"/>
  <c r="I87"/>
  <c r="J87" s="1"/>
  <c r="M87"/>
  <c r="N87"/>
  <c r="H88"/>
  <c r="I88" s="1"/>
  <c r="J88" s="1"/>
  <c r="M88"/>
  <c r="N88"/>
  <c r="H89"/>
  <c r="I89" s="1"/>
  <c r="J89" s="1"/>
  <c r="M89"/>
  <c r="N89" s="1"/>
  <c r="H90"/>
  <c r="I90"/>
  <c r="J90"/>
  <c r="M90"/>
  <c r="N90" s="1"/>
  <c r="F91"/>
  <c r="F92"/>
  <c r="H92"/>
  <c r="I92" s="1"/>
  <c r="J92" s="1"/>
  <c r="M92"/>
  <c r="N92" s="1"/>
  <c r="H93"/>
  <c r="I93" s="1"/>
  <c r="J93" s="1"/>
  <c r="M93"/>
  <c r="N93" s="1"/>
  <c r="G94"/>
  <c r="H94"/>
  <c r="I94" s="1"/>
  <c r="J94" s="1"/>
  <c r="M94"/>
  <c r="N94"/>
  <c r="H95"/>
  <c r="I95" s="1"/>
  <c r="J95" s="1"/>
  <c r="M95"/>
  <c r="N95"/>
  <c r="O95" s="1"/>
  <c r="H96"/>
  <c r="I96"/>
  <c r="J96"/>
  <c r="M96"/>
  <c r="N96" s="1"/>
  <c r="H97"/>
  <c r="I97"/>
  <c r="J97"/>
  <c r="M97"/>
  <c r="N97" s="1"/>
  <c r="H98"/>
  <c r="I98" s="1"/>
  <c r="J98" s="1"/>
  <c r="M98"/>
  <c r="N98"/>
  <c r="F99"/>
  <c r="I99" s="1"/>
  <c r="J99" s="1"/>
  <c r="H99"/>
  <c r="M99"/>
  <c r="N99"/>
  <c r="O99" s="1"/>
  <c r="H100"/>
  <c r="I100" s="1"/>
  <c r="J100" s="1"/>
  <c r="M100"/>
  <c r="N100" s="1"/>
  <c r="O100" s="1"/>
  <c r="H101"/>
  <c r="I101"/>
  <c r="J101"/>
  <c r="M101"/>
  <c r="N101" s="1"/>
  <c r="P101" s="1"/>
  <c r="Q101" s="1"/>
  <c r="H102"/>
  <c r="I102"/>
  <c r="J102" s="1"/>
  <c r="M102"/>
  <c r="N102"/>
  <c r="F103"/>
  <c r="I103" s="1"/>
  <c r="J103" s="1"/>
  <c r="H103"/>
  <c r="M103"/>
  <c r="H104"/>
  <c r="I104"/>
  <c r="J104" s="1"/>
  <c r="M104"/>
  <c r="N104"/>
  <c r="O104"/>
  <c r="F105"/>
  <c r="H105" s="1"/>
  <c r="I105" s="1"/>
  <c r="J105" s="1"/>
  <c r="M105"/>
  <c r="N105" s="1"/>
  <c r="O105" s="1"/>
  <c r="H106"/>
  <c r="I106"/>
  <c r="J106" s="1"/>
  <c r="M106"/>
  <c r="N106" s="1"/>
  <c r="O106" s="1"/>
  <c r="J107"/>
  <c r="M107"/>
  <c r="N107" s="1"/>
  <c r="I108"/>
  <c r="J108"/>
  <c r="M108"/>
  <c r="N108" s="1"/>
  <c r="O108" s="1"/>
  <c r="H109"/>
  <c r="I109" s="1"/>
  <c r="J109" s="1"/>
  <c r="M109"/>
  <c r="N109"/>
  <c r="I110"/>
  <c r="J110"/>
  <c r="M110"/>
  <c r="N110" s="1"/>
  <c r="O110" s="1"/>
  <c r="I111"/>
  <c r="J111"/>
  <c r="M111"/>
  <c r="N111" s="1"/>
  <c r="H112"/>
  <c r="I112"/>
  <c r="M112"/>
  <c r="N112"/>
  <c r="O112"/>
  <c r="H113"/>
  <c r="I113" s="1"/>
  <c r="J113" s="1"/>
  <c r="M113"/>
  <c r="N113" s="1"/>
  <c r="F114"/>
  <c r="I114"/>
  <c r="J114"/>
  <c r="M114"/>
  <c r="N114" s="1"/>
  <c r="P114" s="1"/>
  <c r="H115"/>
  <c r="I115"/>
  <c r="M115"/>
  <c r="N115"/>
  <c r="O115"/>
  <c r="H116"/>
  <c r="I116" s="1"/>
  <c r="J116" s="1"/>
  <c r="M116"/>
  <c r="N116" s="1"/>
  <c r="O116" s="1"/>
  <c r="F117"/>
  <c r="N117"/>
  <c r="H117"/>
  <c r="I118"/>
  <c r="J118"/>
  <c r="N118"/>
  <c r="F119"/>
  <c r="I119"/>
  <c r="J119"/>
  <c r="M119"/>
  <c r="N119" s="1"/>
  <c r="J120"/>
  <c r="M120"/>
  <c r="N120" s="1"/>
  <c r="H121"/>
  <c r="I121"/>
  <c r="J121"/>
  <c r="M121"/>
  <c r="N121" s="1"/>
  <c r="F122"/>
  <c r="I122" s="1"/>
  <c r="J122" s="1"/>
  <c r="M122"/>
  <c r="N122"/>
  <c r="I123"/>
  <c r="J123" s="1"/>
  <c r="M123"/>
  <c r="N123"/>
  <c r="H124"/>
  <c r="I124" s="1"/>
  <c r="J124" s="1"/>
  <c r="M124"/>
  <c r="N124"/>
  <c r="O124" s="1"/>
  <c r="F125"/>
  <c r="H125"/>
  <c r="I125"/>
  <c r="J125" s="1"/>
  <c r="M125"/>
  <c r="N125"/>
  <c r="O125"/>
  <c r="F126"/>
  <c r="I126" s="1"/>
  <c r="H126"/>
  <c r="M126"/>
  <c r="N126"/>
  <c r="P126" s="1"/>
  <c r="Q126" s="1"/>
  <c r="H127"/>
  <c r="I127" s="1"/>
  <c r="J127" s="1"/>
  <c r="M127"/>
  <c r="N127" s="1"/>
  <c r="H128"/>
  <c r="I128"/>
  <c r="J128"/>
  <c r="M128"/>
  <c r="N128" s="1"/>
  <c r="H129"/>
  <c r="I129"/>
  <c r="M129"/>
  <c r="N129"/>
  <c r="F130"/>
  <c r="H130" s="1"/>
  <c r="I130" s="1"/>
  <c r="J130" s="1"/>
  <c r="M130"/>
  <c r="H131"/>
  <c r="I131"/>
  <c r="O131"/>
  <c r="H132"/>
  <c r="I132" s="1"/>
  <c r="J132" s="1"/>
  <c r="N132"/>
  <c r="O132" s="1"/>
  <c r="F133"/>
  <c r="H133"/>
  <c r="I133" s="1"/>
  <c r="J133" s="1"/>
  <c r="N133"/>
  <c r="O133" s="1"/>
  <c r="F134"/>
  <c r="I134"/>
  <c r="J134"/>
  <c r="M134"/>
  <c r="N134" s="1"/>
  <c r="P134" s="1"/>
  <c r="Q134" s="1"/>
  <c r="H135"/>
  <c r="I135"/>
  <c r="J135" s="1"/>
  <c r="N135"/>
  <c r="O135"/>
  <c r="H136"/>
  <c r="I136" s="1"/>
  <c r="J136" s="1"/>
  <c r="M136"/>
  <c r="N136"/>
  <c r="P136" s="1"/>
  <c r="Q136" s="1"/>
  <c r="H137"/>
  <c r="I137" s="1"/>
  <c r="J137" s="1"/>
  <c r="M137"/>
  <c r="N137" s="1"/>
  <c r="H138"/>
  <c r="I138"/>
  <c r="J138"/>
  <c r="M138"/>
  <c r="N138" s="1"/>
  <c r="H139"/>
  <c r="I139" s="1"/>
  <c r="J139" s="1"/>
  <c r="M139"/>
  <c r="N139"/>
  <c r="H140"/>
  <c r="I140"/>
  <c r="J140"/>
  <c r="M140"/>
  <c r="N140" s="1"/>
  <c r="O140" s="1"/>
  <c r="H141"/>
  <c r="I141" s="1"/>
  <c r="J141" s="1"/>
  <c r="M141"/>
  <c r="N141"/>
  <c r="H142"/>
  <c r="I142" s="1"/>
  <c r="J142" s="1"/>
  <c r="M142"/>
  <c r="N142" s="1"/>
  <c r="O142" s="1"/>
  <c r="M143"/>
  <c r="N143"/>
  <c r="O143" s="1"/>
  <c r="G143"/>
  <c r="I143" s="1"/>
  <c r="J143" s="1"/>
  <c r="H143"/>
  <c r="M144"/>
  <c r="N144" s="1"/>
  <c r="O144" s="1"/>
  <c r="H144"/>
  <c r="I144"/>
  <c r="J144" s="1"/>
  <c r="M145"/>
  <c r="N145"/>
  <c r="H145"/>
  <c r="I145" s="1"/>
  <c r="J145" s="1"/>
  <c r="M146"/>
  <c r="N146"/>
  <c r="G146"/>
  <c r="I146" s="1"/>
  <c r="J146" s="1"/>
  <c r="H146"/>
  <c r="F147"/>
  <c r="M147" s="1"/>
  <c r="N147" s="1"/>
  <c r="O147" s="1"/>
  <c r="H147"/>
  <c r="I147"/>
  <c r="J147" s="1"/>
  <c r="M148"/>
  <c r="N148" s="1"/>
  <c r="H148"/>
  <c r="I148"/>
  <c r="J148" s="1"/>
  <c r="M149"/>
  <c r="N149" s="1"/>
  <c r="H149"/>
  <c r="I149"/>
  <c r="J149"/>
  <c r="M150"/>
  <c r="N150" s="1"/>
  <c r="P150" s="1"/>
  <c r="Q150" s="1"/>
  <c r="H150"/>
  <c r="I150"/>
  <c r="J150" s="1"/>
  <c r="F151"/>
  <c r="M151" s="1"/>
  <c r="N151" s="1"/>
  <c r="P151" s="1"/>
  <c r="H151"/>
  <c r="I151" s="1"/>
  <c r="J151" s="1"/>
  <c r="F152"/>
  <c r="M152"/>
  <c r="N152" s="1"/>
  <c r="O152" s="1"/>
  <c r="H152"/>
  <c r="I152"/>
  <c r="M153"/>
  <c r="N153" s="1"/>
  <c r="O153" s="1"/>
  <c r="F153"/>
  <c r="G153"/>
  <c r="I153" s="1"/>
  <c r="J153" s="1"/>
  <c r="H153"/>
  <c r="M154"/>
  <c r="N154" s="1"/>
  <c r="G154"/>
  <c r="I154" s="1"/>
  <c r="J154" s="1"/>
  <c r="M155"/>
  <c r="N155" s="1"/>
  <c r="O155" s="1"/>
  <c r="H155"/>
  <c r="I155"/>
  <c r="J155" s="1"/>
  <c r="M156"/>
  <c r="F156"/>
  <c r="G156"/>
  <c r="I156" s="1"/>
  <c r="J156" s="1"/>
  <c r="M157"/>
  <c r="N157" s="1"/>
  <c r="H157"/>
  <c r="I157" s="1"/>
  <c r="J157" s="1"/>
  <c r="M158"/>
  <c r="N158"/>
  <c r="I158"/>
  <c r="J158" s="1"/>
  <c r="M159"/>
  <c r="N159"/>
  <c r="H159"/>
  <c r="I159"/>
  <c r="F160"/>
  <c r="N160" s="1"/>
  <c r="H160"/>
  <c r="N161"/>
  <c r="I161"/>
  <c r="J161" s="1"/>
  <c r="M162"/>
  <c r="N162"/>
  <c r="P162" s="1"/>
  <c r="Q162" s="1"/>
  <c r="F162"/>
  <c r="I162" s="1"/>
  <c r="J162" s="1"/>
  <c r="H162"/>
  <c r="M163"/>
  <c r="N163" s="1"/>
  <c r="P163" s="1"/>
  <c r="Q163" s="1"/>
  <c r="I163"/>
  <c r="J152"/>
  <c r="J159"/>
  <c r="J163"/>
  <c r="I185"/>
  <c r="J185"/>
  <c r="K185"/>
  <c r="L185" s="1"/>
  <c r="I189"/>
  <c r="J189" s="1"/>
  <c r="H198"/>
  <c r="I198"/>
  <c r="I200" s="1"/>
  <c r="L215"/>
  <c r="C20" i="1"/>
  <c r="B7" i="12"/>
  <c r="B9"/>
  <c r="B11"/>
  <c r="B15"/>
  <c r="B17"/>
  <c r="M78"/>
  <c r="H93" i="15"/>
  <c r="P143" i="2"/>
  <c r="Q143" s="1"/>
  <c r="O129"/>
  <c r="P110"/>
  <c r="Q110" s="1"/>
  <c r="O126"/>
  <c r="O117"/>
  <c r="P152"/>
  <c r="Q152" s="1"/>
  <c r="O145"/>
  <c r="P145"/>
  <c r="E11" i="1"/>
  <c r="N11" s="1"/>
  <c r="D100" i="15"/>
  <c r="P105" i="2"/>
  <c r="Q105" s="1"/>
  <c r="O89"/>
  <c r="H96" i="8"/>
  <c r="I96"/>
  <c r="I88"/>
  <c r="F31" i="3"/>
  <c r="P146" i="2"/>
  <c r="Q146" s="1"/>
  <c r="O146"/>
  <c r="O102"/>
  <c r="P102"/>
  <c r="Q102" s="1"/>
  <c r="O85"/>
  <c r="P137"/>
  <c r="Q137" s="1"/>
  <c r="Q114"/>
  <c r="N156"/>
  <c r="P144"/>
  <c r="Q144" s="1"/>
  <c r="J126"/>
  <c r="P124"/>
  <c r="Q124" s="1"/>
  <c r="P108"/>
  <c r="Q108" s="1"/>
  <c r="P75"/>
  <c r="Q75" s="1"/>
  <c r="O75"/>
  <c r="O81"/>
  <c r="O150"/>
  <c r="P99"/>
  <c r="Q99"/>
  <c r="O98"/>
  <c r="O88"/>
  <c r="O87"/>
  <c r="P87"/>
  <c r="Q87" s="1"/>
  <c r="A21" i="3"/>
  <c r="F12" i="8"/>
  <c r="P140" i="2"/>
  <c r="Q140" s="1"/>
  <c r="P125"/>
  <c r="Q125" s="1"/>
  <c r="P113"/>
  <c r="Q113" s="1"/>
  <c r="P122"/>
  <c r="Q122" s="1"/>
  <c r="O113"/>
  <c r="O151"/>
  <c r="P142"/>
  <c r="Q142" s="1"/>
  <c r="O137"/>
  <c r="O122"/>
  <c r="I117"/>
  <c r="J117" s="1"/>
  <c r="O114"/>
  <c r="P104"/>
  <c r="Q104" s="1"/>
  <c r="E98" i="15"/>
  <c r="H91" i="2"/>
  <c r="I91" s="1"/>
  <c r="J91" s="1"/>
  <c r="M91"/>
  <c r="N91"/>
  <c r="G9" i="4"/>
  <c r="F10"/>
  <c r="O165" i="2"/>
  <c r="D17" i="13"/>
  <c r="D25"/>
  <c r="E17" i="3"/>
  <c r="D18"/>
  <c r="D33"/>
  <c r="J15" i="2"/>
  <c r="AB29" i="3"/>
  <c r="AA29"/>
  <c r="H66" i="15"/>
  <c r="N77" i="2"/>
  <c r="M78"/>
  <c r="N78"/>
  <c r="E41" i="10"/>
  <c r="O173" i="2"/>
  <c r="P96"/>
  <c r="G6" i="4"/>
  <c r="G30" i="3"/>
  <c r="E56" i="10"/>
  <c r="P171" i="2"/>
  <c r="Q171" s="1"/>
  <c r="E25" i="3"/>
  <c r="D26"/>
  <c r="O169" i="2"/>
  <c r="D44" i="13"/>
  <c r="E7" i="1"/>
  <c r="N7" s="1"/>
  <c r="D17" i="10"/>
  <c r="D23" i="5"/>
  <c r="F22" i="4"/>
  <c r="BV11" i="3"/>
  <c r="BR11"/>
  <c r="G10" i="4"/>
  <c r="F15"/>
  <c r="E26" i="3"/>
  <c r="F25"/>
  <c r="G31"/>
  <c r="H30"/>
  <c r="O77" i="2"/>
  <c r="E18" i="3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P175" i="2"/>
  <c r="J175"/>
  <c r="J16"/>
  <c r="I45"/>
  <c r="N45" s="1"/>
  <c r="CN18" i="3"/>
  <c r="CN19"/>
  <c r="CN33"/>
  <c r="G98" i="8"/>
  <c r="CP19" i="3" l="1"/>
  <c r="CP33"/>
  <c r="Z42" i="2"/>
  <c r="AA42"/>
  <c r="M42"/>
  <c r="S42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48" i="2"/>
  <c r="D40" i="21"/>
  <c r="D52"/>
  <c r="D61" s="1"/>
  <c r="D17"/>
  <c r="D24" s="1"/>
  <c r="D28" s="1"/>
  <c r="C24"/>
  <c r="D41"/>
  <c r="D35" i="20"/>
  <c r="D40"/>
  <c r="D50"/>
  <c r="D22"/>
  <c r="D17"/>
  <c r="D52"/>
  <c r="D61" s="1"/>
  <c r="C10" i="1"/>
  <c r="C13"/>
  <c r="L13" s="1"/>
  <c r="I12" i="8"/>
  <c r="J12" s="1"/>
  <c r="I4"/>
  <c r="J4" s="1"/>
  <c r="H26" i="19"/>
  <c r="D29"/>
  <c r="C32" i="1"/>
  <c r="H8" s="1"/>
  <c r="A5" i="3" s="1"/>
  <c r="L20" i="1"/>
  <c r="N8"/>
  <c r="N24"/>
  <c r="M26" i="2"/>
  <c r="J26"/>
  <c r="L26"/>
  <c r="AA52"/>
  <c r="Z45"/>
  <c r="M25"/>
  <c r="I25"/>
  <c r="L25" s="1"/>
  <c r="M47"/>
  <c r="S47" s="1"/>
  <c r="I34"/>
  <c r="L34" s="1"/>
  <c r="M43"/>
  <c r="S43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49" i="2"/>
  <c r="Z44"/>
  <c r="Z53"/>
  <c r="L24"/>
  <c r="L43"/>
  <c r="O43" s="1"/>
  <c r="J42"/>
  <c r="J43"/>
  <c r="J45"/>
  <c r="J41"/>
  <c r="N41"/>
  <c r="J50"/>
  <c r="M24"/>
  <c r="Q67"/>
  <c r="Q151"/>
  <c r="R152"/>
  <c r="P141"/>
  <c r="Q141" s="1"/>
  <c r="O141"/>
  <c r="P94"/>
  <c r="Q94" s="1"/>
  <c r="O94"/>
  <c r="J77"/>
  <c r="P77"/>
  <c r="Q77" s="1"/>
  <c r="P161"/>
  <c r="Q161" s="1"/>
  <c r="O161"/>
  <c r="P158"/>
  <c r="O158"/>
  <c r="P148"/>
  <c r="Q148" s="1"/>
  <c r="O148"/>
  <c r="P129"/>
  <c r="Q129" s="1"/>
  <c r="J129"/>
  <c r="O120"/>
  <c r="P120"/>
  <c r="Q120" s="1"/>
  <c r="P112"/>
  <c r="Q112" s="1"/>
  <c r="J112"/>
  <c r="O92"/>
  <c r="P92"/>
  <c r="Q92" s="1"/>
  <c r="O90"/>
  <c r="P90"/>
  <c r="Q90" s="1"/>
  <c r="Q175"/>
  <c r="R175"/>
  <c r="P91"/>
  <c r="O91"/>
  <c r="O156"/>
  <c r="P156"/>
  <c r="Q156" s="1"/>
  <c r="O160"/>
  <c r="P131"/>
  <c r="J131"/>
  <c r="O128"/>
  <c r="P128"/>
  <c r="Q128" s="1"/>
  <c r="P127"/>
  <c r="Q127" s="1"/>
  <c r="O127"/>
  <c r="O119"/>
  <c r="P119"/>
  <c r="Q119" s="1"/>
  <c r="P118"/>
  <c r="Q118" s="1"/>
  <c r="O118"/>
  <c r="O111"/>
  <c r="P111"/>
  <c r="Q111" s="1"/>
  <c r="P107"/>
  <c r="O107"/>
  <c r="P97"/>
  <c r="Q97" s="1"/>
  <c r="O97"/>
  <c r="J83"/>
  <c r="P83"/>
  <c r="Q83" s="1"/>
  <c r="P81"/>
  <c r="K49"/>
  <c r="J169"/>
  <c r="P169"/>
  <c r="J10"/>
  <c r="O70"/>
  <c r="P70"/>
  <c r="Q70" s="1"/>
  <c r="O79"/>
  <c r="P79"/>
  <c r="P72"/>
  <c r="O72"/>
  <c r="AC46"/>
  <c r="AA46"/>
  <c r="I46"/>
  <c r="J46" s="1"/>
  <c r="P147"/>
  <c r="Q147" s="1"/>
  <c r="N130"/>
  <c r="P89"/>
  <c r="Q89" s="1"/>
  <c r="P85"/>
  <c r="Q85" s="1"/>
  <c r="I33"/>
  <c r="R144"/>
  <c r="P117"/>
  <c r="Q117" s="1"/>
  <c r="P68"/>
  <c r="Q68" s="1"/>
  <c r="P95"/>
  <c r="Q95" s="1"/>
  <c r="P86"/>
  <c r="Q86" s="1"/>
  <c r="P155"/>
  <c r="Q155" s="1"/>
  <c r="O136"/>
  <c r="O134"/>
  <c r="J67"/>
  <c r="P132"/>
  <c r="Q132" s="1"/>
  <c r="R64"/>
  <c r="O174"/>
  <c r="O162"/>
  <c r="N103"/>
  <c r="J195" s="1"/>
  <c r="P88"/>
  <c r="Q88" s="1"/>
  <c r="P165"/>
  <c r="L16"/>
  <c r="I53"/>
  <c r="J53" s="1"/>
  <c r="P78"/>
  <c r="O78"/>
  <c r="Q145"/>
  <c r="O159"/>
  <c r="P159"/>
  <c r="Q159" s="1"/>
  <c r="O149"/>
  <c r="P149"/>
  <c r="Q149" s="1"/>
  <c r="P123"/>
  <c r="Q123" s="1"/>
  <c r="O123"/>
  <c r="P115"/>
  <c r="Q115" s="1"/>
  <c r="J115"/>
  <c r="O93"/>
  <c r="P93"/>
  <c r="Q93" s="1"/>
  <c r="K53"/>
  <c r="P61"/>
  <c r="N178"/>
  <c r="O61"/>
  <c r="O139"/>
  <c r="P139"/>
  <c r="Q139" s="1"/>
  <c r="P109"/>
  <c r="Q109" s="1"/>
  <c r="O109"/>
  <c r="J47"/>
  <c r="K47"/>
  <c r="L47" s="1"/>
  <c r="O47" s="1"/>
  <c r="P172"/>
  <c r="Q172" s="1"/>
  <c r="O172"/>
  <c r="P170"/>
  <c r="Q170" s="1"/>
  <c r="O170"/>
  <c r="J18"/>
  <c r="I49"/>
  <c r="J49" s="1"/>
  <c r="I48"/>
  <c r="L48" s="1"/>
  <c r="O48" s="1"/>
  <c r="J14"/>
  <c r="I51"/>
  <c r="L51" s="1"/>
  <c r="O51" s="1"/>
  <c r="J11"/>
  <c r="P71"/>
  <c r="Q71" s="1"/>
  <c r="O71"/>
  <c r="O74"/>
  <c r="P74"/>
  <c r="Q74" s="1"/>
  <c r="AC41"/>
  <c r="AA41"/>
  <c r="Q96"/>
  <c r="O157"/>
  <c r="P157"/>
  <c r="Q157" s="1"/>
  <c r="P154"/>
  <c r="Q154" s="1"/>
  <c r="O154"/>
  <c r="O138"/>
  <c r="P138"/>
  <c r="Q138" s="1"/>
  <c r="O121"/>
  <c r="P121"/>
  <c r="Q121" s="1"/>
  <c r="K44"/>
  <c r="P63"/>
  <c r="Q63" s="1"/>
  <c r="O63"/>
  <c r="N189"/>
  <c r="P73"/>
  <c r="Q73" s="1"/>
  <c r="P82"/>
  <c r="Q82" s="1"/>
  <c r="P84"/>
  <c r="Q84" s="1"/>
  <c r="O101"/>
  <c r="P153"/>
  <c r="L14"/>
  <c r="I32"/>
  <c r="P164"/>
  <c r="P80"/>
  <c r="Q80" s="1"/>
  <c r="O168"/>
  <c r="P106"/>
  <c r="Q106" s="1"/>
  <c r="P116"/>
  <c r="Q116" s="1"/>
  <c r="P135"/>
  <c r="Q135" s="1"/>
  <c r="O163"/>
  <c r="P69"/>
  <c r="Q69" s="1"/>
  <c r="P100"/>
  <c r="Q100" s="1"/>
  <c r="P98"/>
  <c r="Q98" s="1"/>
  <c r="I52"/>
  <c r="L52" s="1"/>
  <c r="O52" s="1"/>
  <c r="O167"/>
  <c r="P166"/>
  <c r="Q166" s="1"/>
  <c r="L15"/>
  <c r="M22"/>
  <c r="L50"/>
  <c r="O50" s="1"/>
  <c r="N42"/>
  <c r="L22"/>
  <c r="M50"/>
  <c r="S50" s="1"/>
  <c r="I160"/>
  <c r="J160" s="1"/>
  <c r="P133"/>
  <c r="Q133" s="1"/>
  <c r="L45"/>
  <c r="O45" s="1"/>
  <c r="L42"/>
  <c r="O42" s="1"/>
  <c r="P62"/>
  <c r="L13"/>
  <c r="L41"/>
  <c r="O41" s="1"/>
  <c r="L17"/>
  <c r="L11"/>
  <c r="M18"/>
  <c r="L12"/>
  <c r="M19"/>
  <c r="M20"/>
  <c r="L21"/>
  <c r="L10"/>
  <c r="L23"/>
  <c r="M12"/>
  <c r="AA44"/>
  <c r="L20"/>
  <c r="M15"/>
  <c r="M21"/>
  <c r="L18"/>
  <c r="L19"/>
  <c r="M45"/>
  <c r="S45" s="1"/>
  <c r="K32"/>
  <c r="M11"/>
  <c r="M14"/>
  <c r="K31"/>
  <c r="M17"/>
  <c r="M10"/>
  <c r="K33"/>
  <c r="M13"/>
  <c r="L8"/>
  <c r="AC43"/>
  <c r="AC47"/>
  <c r="AC45"/>
  <c r="AC49"/>
  <c r="AC51"/>
  <c r="AC53"/>
  <c r="D45" i="21" l="1"/>
  <c r="D60" s="1"/>
  <c r="D62" s="1"/>
  <c r="E9" i="1" s="1"/>
  <c r="N9" s="1"/>
  <c r="D24" i="20"/>
  <c r="D28" s="1"/>
  <c r="D41"/>
  <c r="E10" i="1"/>
  <c r="N10" s="1"/>
  <c r="L10"/>
  <c r="H11"/>
  <c r="A8" i="3" s="1"/>
  <c r="L32" i="1"/>
  <c r="L24" s="1"/>
  <c r="C24"/>
  <c r="J25" i="2"/>
  <c r="M34"/>
  <c r="I31"/>
  <c r="A13" i="3" s="1"/>
  <c r="I44" i="2"/>
  <c r="J44" s="1"/>
  <c r="F83" i="15"/>
  <c r="H83" s="1"/>
  <c r="H86" s="1"/>
  <c r="C15" i="1" s="1"/>
  <c r="L15" s="1"/>
  <c r="E64" i="15"/>
  <c r="H64" s="1"/>
  <c r="H67" s="1"/>
  <c r="H119"/>
  <c r="C50" i="1" s="1"/>
  <c r="L53" i="2"/>
  <c r="O53" s="1"/>
  <c r="M53"/>
  <c r="S53" s="1"/>
  <c r="M49"/>
  <c r="S49" s="1"/>
  <c r="L46"/>
  <c r="O46" s="1"/>
  <c r="K54"/>
  <c r="H44" s="1"/>
  <c r="M48"/>
  <c r="S48" s="1"/>
  <c r="Q164"/>
  <c r="R164"/>
  <c r="Q153"/>
  <c r="R157"/>
  <c r="R165"/>
  <c r="Q165"/>
  <c r="Q81"/>
  <c r="R81"/>
  <c r="R91"/>
  <c r="Q91"/>
  <c r="R159"/>
  <c r="Q158"/>
  <c r="Q62"/>
  <c r="R62"/>
  <c r="N52"/>
  <c r="J52"/>
  <c r="I192"/>
  <c r="P189"/>
  <c r="Q189" s="1"/>
  <c r="J48"/>
  <c r="N48"/>
  <c r="N53"/>
  <c r="Q107"/>
  <c r="Q131"/>
  <c r="R131"/>
  <c r="R142"/>
  <c r="R96"/>
  <c r="P160"/>
  <c r="R150"/>
  <c r="N51"/>
  <c r="J51"/>
  <c r="R72"/>
  <c r="Q72"/>
  <c r="N49"/>
  <c r="O103"/>
  <c r="P103"/>
  <c r="Q103" s="1"/>
  <c r="N46"/>
  <c r="R174"/>
  <c r="R169" s="1"/>
  <c r="Q169"/>
  <c r="R61"/>
  <c r="Q61"/>
  <c r="Q192"/>
  <c r="Q78"/>
  <c r="O130"/>
  <c r="P130"/>
  <c r="Q130" s="1"/>
  <c r="Q79"/>
  <c r="Q193"/>
  <c r="R67"/>
  <c r="M46"/>
  <c r="S46" s="1"/>
  <c r="I178"/>
  <c r="P178" s="1"/>
  <c r="Q178" s="1"/>
  <c r="M52"/>
  <c r="S52" s="1"/>
  <c r="M51"/>
  <c r="S51" s="1"/>
  <c r="L49"/>
  <c r="O49" s="1"/>
  <c r="L32"/>
  <c r="M32"/>
  <c r="C6" i="1"/>
  <c r="L6" s="1"/>
  <c r="C7"/>
  <c r="L7" s="1"/>
  <c r="M33" i="2"/>
  <c r="L33"/>
  <c r="N5" i="1" l="1"/>
  <c r="N36" s="1"/>
  <c r="D60" i="20"/>
  <c r="D62" s="1"/>
  <c r="E5" i="1"/>
  <c r="E36" s="1"/>
  <c r="M31" i="2"/>
  <c r="L31"/>
  <c r="H50"/>
  <c r="H52"/>
  <c r="N44"/>
  <c r="N54" s="1"/>
  <c r="M44"/>
  <c r="S44" s="1"/>
  <c r="I54"/>
  <c r="G48" s="1"/>
  <c r="L44"/>
  <c r="O44" s="1"/>
  <c r="O54" s="1"/>
  <c r="H42"/>
  <c r="H53"/>
  <c r="H49"/>
  <c r="H43"/>
  <c r="H45"/>
  <c r="H51"/>
  <c r="H48"/>
  <c r="H47"/>
  <c r="H54"/>
  <c r="H46"/>
  <c r="H41"/>
  <c r="R163"/>
  <c r="Q160"/>
  <c r="R107"/>
  <c r="N192"/>
  <c r="L5" i="1"/>
  <c r="L36" s="1"/>
  <c r="C5"/>
  <c r="H10"/>
  <c r="A7" i="3" s="1"/>
  <c r="G52" i="2" l="1"/>
  <c r="N37" i="1"/>
  <c r="N38" s="1"/>
  <c r="G47" i="2"/>
  <c r="L54"/>
  <c r="M54" s="1"/>
  <c r="S54" s="1"/>
  <c r="G45"/>
  <c r="G44"/>
  <c r="G49"/>
  <c r="G53"/>
  <c r="G46"/>
  <c r="G50"/>
  <c r="G54"/>
  <c r="G51"/>
  <c r="G42"/>
  <c r="G43"/>
  <c r="G41"/>
  <c r="I193"/>
  <c r="N193" s="1"/>
  <c r="P192"/>
  <c r="C36" i="1"/>
  <c r="E37" s="1"/>
  <c r="F54"/>
  <c r="P193" i="2" l="1"/>
  <c r="H195"/>
  <c r="L195" s="1"/>
  <c r="L199" s="1"/>
  <c r="H12" i="1"/>
  <c r="E38"/>
  <c r="H13" l="1"/>
  <c r="A9" i="3"/>
  <c r="A10" s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72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6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19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2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3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61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0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10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3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<sst xmlns="http://schemas.openxmlformats.org/spreadsheetml/2006/main" count="1765" uniqueCount="688">
  <si>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</si>
  <si>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</si>
  <si>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</si>
  <si>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</si>
  <si>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</si>
  <si>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</si>
  <si>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</si>
  <si>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</si>
  <si>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</si>
  <si>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</si>
  <si>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</si>
  <si>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</si>
  <si>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</si>
  <si>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</si>
  <si>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</si>
  <si>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</si>
  <si>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</si>
  <si>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</si>
  <si>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</si>
  <si>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</si>
  <si>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</si>
  <si>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</si>
  <si>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</si>
  <si>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</si>
  <si>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</si>
  <si>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</si>
  <si>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</si>
  <si>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</si>
  <si>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</si>
  <si>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</si>
  <si>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</si>
  <si>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</si>
  <si>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</si>
  <si>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</si>
  <si>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</si>
  <si>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</si>
  <si>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</si>
  <si>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</si>
  <si>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</si>
  <si>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</si>
  <si>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4/12/00</t>
  </si>
  <si>
    <t>28/10/98</t>
  </si>
  <si>
    <t>6/9/99</t>
  </si>
  <si>
    <t>11/04/00</t>
  </si>
  <si>
    <t>18/01/01</t>
  </si>
  <si>
    <t>19/04/01</t>
  </si>
  <si>
    <t>10/12/01</t>
  </si>
  <si>
    <t>01/08/02</t>
  </si>
  <si>
    <t>27/08/02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</si>
  <si>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</si>
  <si>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</si>
  <si>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</si>
  <si>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</si>
  <si>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</si>
  <si>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</si>
  <si>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</si>
  <si>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</si>
  <si>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</si>
  <si>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</si>
  <si>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</si>
  <si>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</si>
  <si>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</si>
  <si>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</si>
  <si>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</si>
  <si>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</si>
  <si>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</si>
  <si>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13/01/03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</si>
  <si>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</si>
  <si>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</si>
  <si>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</si>
  <si>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</si>
  <si>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</si>
  <si>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</si>
  <si>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</si>
  <si>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</si>
  <si>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</si>
  <si>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</si>
  <si>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</si>
  <si>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</si>
  <si>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</si>
  <si>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</si>
  <si>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</si>
  <si>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</si>
  <si>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</si>
  <si>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</si>
  <si>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</si>
  <si>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</si>
  <si>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</si>
  <si>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</si>
  <si>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</si>
  <si>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</si>
  <si>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</si>
  <si>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</si>
  <si>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</si>
  <si>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</si>
  <si>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</si>
  <si>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</si>
  <si>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</si>
  <si>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</si>
  <si>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</si>
  <si>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</si>
  <si>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</si>
  <si>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</si>
  <si>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</si>
  <si>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</si>
  <si>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</si>
  <si>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</si>
  <si>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</si>
  <si>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</si>
  <si>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</si>
  <si>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</si>
  <si>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</si>
  <si>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</si>
  <si>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</si>
  <si>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</si>
  <si>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</si>
  <si>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</si>
  <si>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</si>
  <si>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</si>
  <si>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</si>
  <si>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</si>
  <si>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</si>
  <si>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</si>
  <si>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</si>
  <si>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</si>
  <si>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</si>
  <si>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</si>
  <si>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</si>
  <si>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</si>
  <si>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</si>
  <si>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</si>
  <si>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</si>
  <si>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</si>
  <si>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</si>
  <si>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</si>
  <si>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</si>
  <si>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</si>
  <si>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</si>
  <si>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</si>
  <si>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</si>
  <si>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</si>
  <si>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</si>
  <si>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</si>
  <si>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</si>
  <si>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</si>
  <si>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</si>
  <si>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</si>
  <si>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</si>
  <si>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</si>
  <si>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</si>
  <si>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</si>
  <si>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</si>
  <si>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</si>
  <si>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</si>
  <si>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</si>
  <si>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</si>
  <si>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</si>
  <si>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</si>
  <si>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</si>
  <si>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</si>
  <si>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</si>
  <si>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</si>
  <si>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</si>
  <si>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</si>
  <si>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</si>
  <si>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</si>
  <si>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</si>
  <si>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</si>
  <si>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</si>
  <si>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</si>
  <si>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</si>
  <si>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</si>
  <si>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</si>
  <si>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</si>
  <si>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</si>
  <si>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</si>
  <si>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</si>
  <si>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</si>
  <si>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</si>
  <si>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</si>
  <si>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</si>
  <si>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</si>
  <si>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</si>
  <si>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</si>
  <si>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</si>
  <si>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</si>
  <si>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</si>
  <si>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</si>
  <si>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</si>
  <si>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</si>
  <si>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</si>
  <si>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</si>
  <si>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</si>
  <si>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</si>
  <si>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</si>
  <si>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</si>
  <si>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</si>
  <si>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</si>
  <si>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</si>
  <si>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</si>
  <si>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</si>
  <si>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</si>
  <si>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</si>
  <si>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</si>
  <si>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</si>
  <si>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</si>
  <si>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</si>
  <si>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</si>
  <si>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</si>
  <si>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</si>
  <si>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</si>
  <si>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</si>
  <si>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</si>
  <si>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</si>
  <si>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</si>
  <si>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</si>
  <si>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</si>
  <si>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</si>
  <si>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</si>
  <si>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</si>
  <si>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</si>
  <si>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</si>
  <si>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</si>
  <si>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</si>
  <si>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</si>
  <si>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</si>
  <si>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</si>
  <si>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</si>
  <si>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</si>
  <si>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</si>
  <si>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</si>
  <si>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</si>
  <si>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</si>
  <si>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</si>
  <si>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</si>
  <si>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</si>
  <si>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</si>
  <si>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</si>
  <si>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</si>
  <si>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Fondos Bankinter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</si>
  <si>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</si>
  <si>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</si>
  <si>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</si>
  <si>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</si>
  <si>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</si>
  <si>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</si>
  <si>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</si>
  <si>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</si>
  <si>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</si>
  <si>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</si>
  <si>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</si>
  <si>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</si>
  <si>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</si>
  <si>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</si>
  <si>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</si>
  <si>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</si>
  <si>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</si>
  <si>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</si>
  <si>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</si>
  <si>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</si>
  <si>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</si>
  <si>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</si>
  <si>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</si>
  <si>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</si>
  <si>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</si>
  <si>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</si>
  <si>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</si>
  <si>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</si>
  <si>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</si>
  <si>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</si>
  <si>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</si>
  <si>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</si>
  <si>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</si>
  <si>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</si>
  <si>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</si>
  <si>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</si>
  <si>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</si>
  <si>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</si>
  <si>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</si>
  <si>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</si>
  <si>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</si>
  <si>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</si>
  <si>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</si>
  <si>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</si>
  <si>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</si>
  <si>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</si>
  <si>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</si>
  <si>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</si>
  <si>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</si>
  <si>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</si>
  <si>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</si>
  <si>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</si>
  <si>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</si>
  <si>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</si>
  <si>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</si>
  <si>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</si>
  <si>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</si>
  <si>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</si>
  <si>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</si>
  <si>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</si>
  <si>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</si>
  <si>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</si>
  <si>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</si>
  <si>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</si>
  <si>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</si>
  <si>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</si>
  <si>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</si>
  <si>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</si>
  <si>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</si>
  <si>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</si>
  <si>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</si>
  <si>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</si>
  <si>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</si>
  <si>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</si>
  <si>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</si>
  <si>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</si>
  <si>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</si>
  <si>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</si>
  <si>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</si>
  <si>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</si>
  <si>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</si>
  <si>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</si>
  <si>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</si>
  <si>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</si>
  <si>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</si>
  <si>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</si>
  <si>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</si>
  <si>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</si>
  <si>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</si>
  <si>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</si>
  <si>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</si>
  <si>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</si>
  <si>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</si>
  <si>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</si>
  <si>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</si>
  <si>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</si>
  <si>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</si>
  <si>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</si>
  <si>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</si>
  <si>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</si>
  <si>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</si>
  <si>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</si>
  <si>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</si>
  <si>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</si>
  <si>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</si>
  <si>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</si>
  <si>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</si>
  <si>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</si>
  <si>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</si>
  <si>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</si>
  <si>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</si>
  <si>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</si>
  <si>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</si>
  <si>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</si>
  <si>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</si>
  <si>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</si>
  <si>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</si>
  <si>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</si>
  <si>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</si>
  <si>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</si>
  <si>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</si>
  <si>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</si>
  <si>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</si>
  <si>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</si>
  <si>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</si>
  <si>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</si>
  <si>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</si>
  <si>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</si>
  <si>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</si>
  <si>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</si>
  <si>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</si>
  <si>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</si>
  <si>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</si>
  <si>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</si>
  <si>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</si>
  <si>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</si>
  <si>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</si>
  <si>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</si>
  <si>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</si>
  <si>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</si>
  <si>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</si>
  <si>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</si>
  <si>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</si>
  <si>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</si>
  <si>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</si>
  <si>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</si>
  <si>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</si>
  <si>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</si>
  <si>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</si>
  <si>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</si>
  <si>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</si>
  <si>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</si>
  <si>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</si>
  <si>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</si>
  <si>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</si>
  <si>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</si>
  <si>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</si>
  <si>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</si>
  <si>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</si>
  <si>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</si>
  <si>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</si>
  <si>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</si>
  <si>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</si>
  <si>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</si>
  <si>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</si>
  <si>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</si>
  <si>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</si>
  <si>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</si>
  <si>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</si>
  <si>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</si>
  <si>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</si>
  <si>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</si>
  <si>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</si>
  <si>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</si>
  <si>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</si>
  <si>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</si>
  <si>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</si>
  <si>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</si>
  <si>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</si>
  <si>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</si>
  <si>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</si>
  <si>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</si>
  <si>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</si>
  <si>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</si>
  <si>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</si>
  <si>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</si>
  <si>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</si>
  <si>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</si>
  <si>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</si>
  <si>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</si>
  <si>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</si>
  <si>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</si>
  <si>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</si>
  <si>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</si>
  <si>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</si>
  <si>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</si>
  <si>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</si>
  <si>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</si>
  <si>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</si>
  <si>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</si>
  <si>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</si>
  <si>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</si>
  <si>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</si>
  <si>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</si>
  <si>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</si>
  <si>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</si>
  <si>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</si>
  <si>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</si>
  <si>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</si>
  <si>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</si>
  <si>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</si>
  <si>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</si>
  <si>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</si>
  <si>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</si>
  <si>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</si>
  <si>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</si>
  <si>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</si>
  <si>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</si>
  <si>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</si>
  <si>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</si>
  <si>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</si>
  <si>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</si>
  <si>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</si>
  <si>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</si>
  <si>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</si>
  <si>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</si>
  <si>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</si>
  <si>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</si>
  <si>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</si>
  <si>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</si>
  <si>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</si>
  <si>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</si>
  <si>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</si>
  <si>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</si>
  <si>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</si>
  <si>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</si>
  <si>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</si>
  <si>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</si>
  <si>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</si>
  <si>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</si>
  <si>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</si>
  <si>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</si>
  <si>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</si>
  <si>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</si>
  <si>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</si>
  <si>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</si>
  <si>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</si>
  <si>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</si>
  <si>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</si>
  <si>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</si>
  <si>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</si>
  <si>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</si>
  <si>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</si>
  <si>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</si>
  <si>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</si>
  <si>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</si>
  <si>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</si>
  <si>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</si>
  <si>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</si>
  <si>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</si>
  <si>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</si>
  <si>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</si>
  <si>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</si>
  <si>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</si>
  <si>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</si>
  <si>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</si>
  <si>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</si>
  <si>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</si>
  <si>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</si>
  <si>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</si>
  <si>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</si>
  <si>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</si>
  <si>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</si>
  <si>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</si>
  <si>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</si>
  <si>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</si>
  <si>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</si>
  <si>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</si>
  <si>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</si>
  <si>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</si>
  <si>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</si>
  <si>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</si>
  <si>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</si>
  <si>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</si>
  <si>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</si>
  <si>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</si>
  <si>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</si>
  <si>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</si>
  <si>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</si>
  <si>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</si>
  <si>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</si>
  <si>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</si>
  <si>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</si>
  <si>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</si>
  <si>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</si>
  <si>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</si>
  <si>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</si>
  <si>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</si>
  <si>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</si>
  <si>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</si>
  <si>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</si>
  <si>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</si>
  <si>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</si>
  <si>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</si>
  <si>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</si>
  <si>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</si>
  <si>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</si>
  <si>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</si>
  <si>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</si>
  <si>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</si>
  <si>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</si>
  <si>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</si>
  <si>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</si>
  <si>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</si>
  <si>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</si>
  <si>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</si>
  <si>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</si>
  <si>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</si>
  <si>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</si>
  <si>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</si>
  <si>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</si>
  <si>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</si>
  <si>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</si>
  <si>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</si>
  <si>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</si>
  <si>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</si>
  <si>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</si>
  <si>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</si>
  <si>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</si>
  <si>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</si>
  <si>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</si>
  <si>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</si>
  <si>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</si>
  <si>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</si>
  <si>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</si>
  <si>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</si>
  <si>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</si>
  <si>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</si>
  <si>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</si>
  <si>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</si>
  <si>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</si>
  <si>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</si>
  <si>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</si>
  <si>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</si>
  <si>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</si>
  <si>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</si>
  <si>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</si>
  <si>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</si>
  <si>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</si>
  <si>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</si>
  <si>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</si>
  <si>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</si>
  <si>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</si>
  <si>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</si>
  <si>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</si>
  <si>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</si>
  <si>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</si>
  <si>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</si>
  <si>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</si>
  <si>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</si>
  <si>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</si>
  <si>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</si>
  <si>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</si>
  <si>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</si>
  <si>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</si>
  <si>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</si>
  <si>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</si>
  <si>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</si>
  <si>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</si>
  <si>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</si>
  <si>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</si>
  <si>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</si>
  <si>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</si>
  <si>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</si>
  <si>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</si>
  <si>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</si>
  <si>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</si>
  <si>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</si>
  <si>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</si>
  <si>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</si>
  <si>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</si>
  <si>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</si>
  <si>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</si>
  <si>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</si>
  <si>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</si>
  <si>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</si>
  <si>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</si>
  <si>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</si>
  <si>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</si>
  <si>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</si>
  <si>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</si>
  <si>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</si>
  <si>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</si>
  <si>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</si>
  <si>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</si>
  <si>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</si>
  <si>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</si>
  <si>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</si>
  <si>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</si>
  <si>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Prevision Ingresos Netos 2010-2011 v1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</si>
  <si>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</si>
  <si>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</si>
  <si>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</si>
  <si>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</si>
  <si>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</si>
  <si>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</si>
  <si>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</si>
  <si>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</si>
  <si>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</si>
  <si>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</si>
  <si>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</si>
  <si>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</si>
  <si>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</si>
  <si>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</si>
  <si>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</si>
  <si>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</si>
  <si>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</si>
  <si>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</si>
  <si>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</si>
  <si>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</si>
  <si>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</si>
  <si>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</si>
  <si>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</si>
  <si>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</si>
  <si>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</si>
  <si>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Dega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</si>
  <si>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</si>
  <si>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</si>
  <si>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</si>
  <si>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</si>
  <si>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</si>
  <si>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</si>
  <si>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</si>
  <si>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</si>
  <si>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</si>
  <si>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</si>
  <si>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</si>
  <si>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</si>
  <si>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</si>
  <si>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</si>
  <si>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</si>
  <si>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</si>
  <si>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</si>
  <si>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</si>
  <si>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</si>
  <si>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</si>
  <si>
    <t>Assurance vie</t>
  </si>
  <si>
    <t>BNP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</si>
</sst>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5">
    <font>
      <sz val="10"/>
      <name val="Arial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9" fontId="1" fillId="0" borderId="0" applyFont="0" applyFill="0" applyBorder="0" applyAlignment="0" applyProtection="0"/>
  </cellStyleXfs>
  <cellXfs count="668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3" fontId="3" fillId="0" borderId="1" xfId="0" applyNumberFormat="1" applyFont="1" applyBorder="1"/>
    <xf numFmtId="3" fontId="3" fillId="0" borderId="0" xfId="0" applyNumberFormat="1" applyFont="1" applyBorder="1"/>
    <xf numFmtId="3" fontId="3" fillId="0" borderId="2" xfId="0" applyNumberFormat="1" applyFont="1" applyBorder="1"/>
    <xf numFmtId="164" fontId="3" fillId="0" borderId="2" xfId="3" applyNumberFormat="1" applyFont="1" applyBorder="1"/>
    <xf numFmtId="0" fontId="3" fillId="0" borderId="2" xfId="0" applyFont="1" applyBorder="1"/>
    <xf numFmtId="0" fontId="3" fillId="0" borderId="3" xfId="0" applyFont="1" applyBorder="1"/>
    <xf numFmtId="3" fontId="3" fillId="0" borderId="4" xfId="0" applyNumberFormat="1" applyFont="1" applyBorder="1"/>
    <xf numFmtId="3" fontId="3" fillId="0" borderId="5" xfId="0" applyNumberFormat="1" applyFont="1" applyBorder="1"/>
    <xf numFmtId="3" fontId="3" fillId="0" borderId="0" xfId="0" applyNumberFormat="1" applyFont="1"/>
    <xf numFmtId="3" fontId="3" fillId="0" borderId="6" xfId="0" applyNumberFormat="1" applyFont="1" applyBorder="1"/>
    <xf numFmtId="164" fontId="3" fillId="0" borderId="6" xfId="3" applyNumberFormat="1" applyFont="1" applyBorder="1"/>
    <xf numFmtId="164" fontId="3" fillId="0" borderId="5" xfId="3" applyNumberFormat="1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3" fontId="3" fillId="2" borderId="8" xfId="0" applyNumberFormat="1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centerContinuous"/>
    </xf>
    <xf numFmtId="3" fontId="3" fillId="2" borderId="10" xfId="0" applyNumberFormat="1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3" fontId="3" fillId="2" borderId="6" xfId="0" applyNumberFormat="1" applyFont="1" applyFill="1" applyBorder="1" applyAlignment="1">
      <alignment horizontal="centerContinuous"/>
    </xf>
    <xf numFmtId="4" fontId="3" fillId="0" borderId="0" xfId="0" applyNumberFormat="1" applyFont="1" applyBorder="1"/>
    <xf numFmtId="4" fontId="3" fillId="0" borderId="4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4" fontId="3" fillId="0" borderId="1" xfId="0" applyNumberFormat="1" applyFont="1" applyBorder="1"/>
    <xf numFmtId="4" fontId="3" fillId="0" borderId="3" xfId="0" applyNumberFormat="1" applyFont="1" applyBorder="1"/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Continuous"/>
    </xf>
    <xf numFmtId="1" fontId="3" fillId="2" borderId="8" xfId="0" applyNumberFormat="1" applyFont="1" applyFill="1" applyBorder="1" applyAlignment="1">
      <alignment horizontal="centerContinuous"/>
    </xf>
    <xf numFmtId="1" fontId="3" fillId="2" borderId="12" xfId="0" applyNumberFormat="1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"/>
    </xf>
    <xf numFmtId="3" fontId="3" fillId="2" borderId="4" xfId="0" applyNumberFormat="1" applyFont="1" applyFill="1" applyBorder="1"/>
    <xf numFmtId="3" fontId="3" fillId="2" borderId="4" xfId="0" applyNumberFormat="1" applyFon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3" fontId="3" fillId="2" borderId="9" xfId="0" applyNumberFormat="1" applyFont="1" applyFill="1" applyBorder="1" applyAlignment="1">
      <alignment horizontal="left" indent="1"/>
    </xf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3" fontId="5" fillId="0" borderId="0" xfId="0" applyNumberFormat="1" applyFont="1" applyBorder="1"/>
    <xf numFmtId="4" fontId="5" fillId="0" borderId="0" xfId="0" applyNumberFormat="1" applyFont="1" applyBorder="1"/>
    <xf numFmtId="165" fontId="3" fillId="2" borderId="6" xfId="0" applyNumberFormat="1" applyFont="1" applyFill="1" applyBorder="1"/>
    <xf numFmtId="164" fontId="3" fillId="0" borderId="0" xfId="3" applyNumberFormat="1" applyFont="1" applyBorder="1"/>
    <xf numFmtId="4" fontId="3" fillId="0" borderId="11" xfId="0" applyNumberFormat="1" applyFont="1" applyBorder="1"/>
    <xf numFmtId="3" fontId="3" fillId="0" borderId="11" xfId="0" applyNumberFormat="1" applyFont="1" applyBorder="1"/>
    <xf numFmtId="164" fontId="3" fillId="0" borderId="12" xfId="3" applyNumberFormat="1" applyFont="1" applyBorder="1"/>
    <xf numFmtId="4" fontId="3" fillId="0" borderId="10" xfId="0" applyNumberFormat="1" applyFont="1" applyBorder="1"/>
    <xf numFmtId="4" fontId="3" fillId="0" borderId="8" xfId="0" applyNumberFormat="1" applyFont="1" applyBorder="1"/>
    <xf numFmtId="4" fontId="3" fillId="0" borderId="12" xfId="0" applyNumberFormat="1" applyFont="1" applyBorder="1"/>
    <xf numFmtId="4" fontId="3" fillId="0" borderId="9" xfId="0" applyNumberFormat="1" applyFont="1" applyBorder="1"/>
    <xf numFmtId="4" fontId="3" fillId="0" borderId="6" xfId="0" applyNumberFormat="1" applyFont="1" applyBorder="1"/>
    <xf numFmtId="3" fontId="4" fillId="2" borderId="1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quotePrefix="1" applyFont="1" applyBorder="1" applyAlignment="1">
      <alignment horizontal="center"/>
    </xf>
    <xf numFmtId="3" fontId="5" fillId="0" borderId="4" xfId="0" applyNumberFormat="1" applyFont="1" applyBorder="1"/>
    <xf numFmtId="4" fontId="5" fillId="0" borderId="4" xfId="0" applyNumberFormat="1" applyFont="1" applyBorder="1"/>
    <xf numFmtId="0" fontId="5" fillId="0" borderId="9" xfId="0" quotePrefix="1" applyFont="1" applyBorder="1" applyAlignment="1">
      <alignment horizontal="center"/>
    </xf>
    <xf numFmtId="4" fontId="5" fillId="0" borderId="10" xfId="0" applyNumberFormat="1" applyFont="1" applyBorder="1"/>
    <xf numFmtId="14" fontId="5" fillId="0" borderId="1" xfId="0" quotePrefix="1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8" xfId="0" quotePrefix="1" applyFont="1" applyBorder="1" applyAlignment="1">
      <alignment horizontal="center"/>
    </xf>
    <xf numFmtId="3" fontId="5" fillId="0" borderId="11" xfId="0" applyNumberFormat="1" applyFont="1" applyBorder="1"/>
    <xf numFmtId="4" fontId="5" fillId="0" borderId="11" xfId="0" applyNumberFormat="1" applyFont="1" applyBorder="1"/>
    <xf numFmtId="4" fontId="7" fillId="0" borderId="0" xfId="0" applyNumberFormat="1" applyFont="1" applyBorder="1"/>
    <xf numFmtId="165" fontId="5" fillId="0" borderId="0" xfId="0" applyNumberFormat="1" applyFont="1" applyBorder="1"/>
    <xf numFmtId="165" fontId="5" fillId="0" borderId="4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65" fontId="5" fillId="0" borderId="10" xfId="0" applyNumberFormat="1" applyFont="1" applyBorder="1"/>
    <xf numFmtId="165" fontId="5" fillId="0" borderId="11" xfId="0" applyNumberFormat="1" applyFont="1" applyBorder="1"/>
    <xf numFmtId="14" fontId="5" fillId="0" borderId="8" xfId="0" quotePrefix="1" applyNumberFormat="1" applyFont="1" applyBorder="1" applyAlignment="1">
      <alignment horizontal="center"/>
    </xf>
    <xf numFmtId="3" fontId="8" fillId="0" borderId="0" xfId="0" applyNumberFormat="1" applyFont="1" applyAlignment="1">
      <alignment horizontal="centerContinuous"/>
    </xf>
    <xf numFmtId="3" fontId="2" fillId="0" borderId="8" xfId="0" applyNumberFormat="1" applyFont="1" applyFill="1" applyBorder="1"/>
    <xf numFmtId="3" fontId="2" fillId="0" borderId="12" xfId="0" applyNumberFormat="1" applyFont="1" applyFill="1" applyBorder="1"/>
    <xf numFmtId="3" fontId="5" fillId="0" borderId="2" xfId="0" applyNumberFormat="1" applyFont="1" applyBorder="1"/>
    <xf numFmtId="3" fontId="2" fillId="0" borderId="12" xfId="0" applyNumberFormat="1" applyFont="1" applyBorder="1"/>
    <xf numFmtId="3" fontId="3" fillId="0" borderId="13" xfId="0" applyNumberFormat="1" applyFont="1" applyBorder="1"/>
    <xf numFmtId="3" fontId="3" fillId="0" borderId="12" xfId="0" applyNumberFormat="1" applyFont="1" applyBorder="1"/>
    <xf numFmtId="3" fontId="3" fillId="2" borderId="12" xfId="0" applyNumberFormat="1" applyFont="1" applyFill="1" applyBorder="1" applyAlignment="1">
      <alignment horizontal="centerContinuous"/>
    </xf>
    <xf numFmtId="3" fontId="3" fillId="0" borderId="1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3" fontId="3" fillId="0" borderId="9" xfId="0" applyNumberFormat="1" applyFont="1" applyFill="1" applyBorder="1"/>
    <xf numFmtId="3" fontId="3" fillId="0" borderId="0" xfId="0" applyNumberFormat="1" applyFont="1" applyFill="1"/>
    <xf numFmtId="0" fontId="3" fillId="0" borderId="9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Alignment="1">
      <alignment horizontal="left"/>
    </xf>
    <xf numFmtId="3" fontId="3" fillId="0" borderId="8" xfId="0" applyNumberFormat="1" applyFont="1" applyBorder="1"/>
    <xf numFmtId="4" fontId="3" fillId="0" borderId="0" xfId="0" applyNumberFormat="1" applyFont="1"/>
    <xf numFmtId="0" fontId="3" fillId="0" borderId="9" xfId="0" applyFont="1" applyBorder="1"/>
    <xf numFmtId="0" fontId="3" fillId="0" borderId="6" xfId="0" applyFont="1" applyBorder="1"/>
    <xf numFmtId="3" fontId="3" fillId="0" borderId="1" xfId="0" applyNumberFormat="1" applyFont="1" applyBorder="1" applyAlignment="1">
      <alignment horizontal="left" indent="1"/>
    </xf>
    <xf numFmtId="0" fontId="8" fillId="0" borderId="0" xfId="0" applyFont="1" applyAlignment="1">
      <alignment horizontal="centerContinuous"/>
    </xf>
    <xf numFmtId="0" fontId="3" fillId="2" borderId="8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4" fontId="3" fillId="0" borderId="13" xfId="0" applyNumberFormat="1" applyFont="1" applyBorder="1"/>
    <xf numFmtId="0" fontId="3" fillId="0" borderId="10" xfId="0" applyFont="1" applyBorder="1"/>
    <xf numFmtId="0" fontId="3" fillId="0" borderId="8" xfId="0" applyFont="1" applyBorder="1"/>
    <xf numFmtId="4" fontId="3" fillId="0" borderId="14" xfId="0" applyNumberFormat="1" applyFont="1" applyBorder="1"/>
    <xf numFmtId="0" fontId="3" fillId="0" borderId="11" xfId="0" applyFont="1" applyBorder="1"/>
    <xf numFmtId="4" fontId="3" fillId="0" borderId="7" xfId="0" applyNumberFormat="1" applyFont="1" applyBorder="1"/>
    <xf numFmtId="4" fontId="3" fillId="0" borderId="0" xfId="0" quotePrefix="1" applyNumberFormat="1" applyFont="1" applyBorder="1"/>
    <xf numFmtId="4" fontId="3" fillId="0" borderId="15" xfId="0" applyNumberFormat="1" applyFont="1" applyBorder="1"/>
    <xf numFmtId="4" fontId="3" fillId="0" borderId="4" xfId="0" quotePrefix="1" applyNumberFormat="1" applyFont="1" applyBorder="1"/>
    <xf numFmtId="0" fontId="3" fillId="0" borderId="4" xfId="0" applyFont="1" applyBorder="1"/>
    <xf numFmtId="3" fontId="0" fillId="0" borderId="0" xfId="0" applyNumberFormat="1"/>
    <xf numFmtId="0" fontId="0" fillId="0" borderId="9" xfId="0" applyBorder="1"/>
    <xf numFmtId="3" fontId="3" fillId="0" borderId="0" xfId="0" applyNumberFormat="1" applyFont="1" applyAlignment="1">
      <alignment horizontal="centerContinuous"/>
    </xf>
    <xf numFmtId="14" fontId="5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9" fillId="0" borderId="1" xfId="2" applyBorder="1"/>
    <xf numFmtId="0" fontId="9" fillId="0" borderId="0" xfId="2" applyBorder="1"/>
    <xf numFmtId="3" fontId="0" fillId="0" borderId="0" xfId="0" applyNumberFormat="1" applyBorder="1"/>
    <xf numFmtId="0" fontId="0" fillId="0" borderId="2" xfId="0" applyBorder="1"/>
    <xf numFmtId="170" fontId="9" fillId="0" borderId="0" xfId="2" applyNumberFormat="1" applyBorder="1" applyProtection="1"/>
    <xf numFmtId="0" fontId="9" fillId="0" borderId="3" xfId="2" applyBorder="1"/>
    <xf numFmtId="0" fontId="9" fillId="0" borderId="4" xfId="2" applyBorder="1"/>
    <xf numFmtId="170" fontId="9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3" fillId="0" borderId="0" xfId="3" applyFont="1"/>
    <xf numFmtId="0" fontId="3" fillId="0" borderId="12" xfId="0" applyFont="1" applyBorder="1"/>
    <xf numFmtId="3" fontId="2" fillId="0" borderId="5" xfId="0" applyNumberFormat="1" applyFont="1" applyBorder="1"/>
    <xf numFmtId="4" fontId="5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0" fillId="0" borderId="2" xfId="0" applyFont="1" applyBorder="1"/>
    <xf numFmtId="0" fontId="10" fillId="0" borderId="5" xfId="0" applyFont="1" applyBorder="1"/>
    <xf numFmtId="0" fontId="10" fillId="0" borderId="1" xfId="0" applyFont="1" applyBorder="1"/>
    <xf numFmtId="0" fontId="10" fillId="0" borderId="3" xfId="0" applyFont="1" applyBorder="1"/>
    <xf numFmtId="4" fontId="10" fillId="0" borderId="8" xfId="0" applyNumberFormat="1" applyFont="1" applyBorder="1"/>
    <xf numFmtId="4" fontId="10" fillId="0" borderId="11" xfId="0" applyNumberFormat="1" applyFont="1" applyBorder="1"/>
    <xf numFmtId="4" fontId="10" fillId="0" borderId="12" xfId="0" applyNumberFormat="1" applyFont="1" applyBorder="1"/>
    <xf numFmtId="4" fontId="10" fillId="0" borderId="1" xfId="0" applyNumberFormat="1" applyFont="1" applyBorder="1"/>
    <xf numFmtId="4" fontId="10" fillId="0" borderId="0" xfId="0" applyNumberFormat="1" applyFont="1" applyBorder="1"/>
    <xf numFmtId="4" fontId="10" fillId="0" borderId="2" xfId="0" applyNumberFormat="1" applyFont="1" applyBorder="1"/>
    <xf numFmtId="4" fontId="0" fillId="0" borderId="0" xfId="0" applyNumberFormat="1"/>
    <xf numFmtId="15" fontId="3" fillId="0" borderId="0" xfId="0" quotePrefix="1" applyNumberFormat="1" applyFont="1" applyAlignment="1">
      <alignment horizontal="centerContinuous"/>
    </xf>
    <xf numFmtId="164" fontId="3" fillId="0" borderId="0" xfId="3" applyNumberFormat="1" applyFont="1"/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" fontId="3" fillId="0" borderId="0" xfId="0" applyNumberFormat="1" applyFont="1" applyBorder="1" applyAlignment="1">
      <alignment horizontal="center"/>
    </xf>
    <xf numFmtId="14" fontId="5" fillId="0" borderId="3" xfId="0" quotePrefix="1" applyNumberFormat="1" applyFont="1" applyBorder="1" applyAlignment="1">
      <alignment horizontal="center"/>
    </xf>
    <xf numFmtId="4" fontId="2" fillId="0" borderId="0" xfId="0" applyNumberFormat="1" applyFont="1" applyBorder="1"/>
    <xf numFmtId="0" fontId="3" fillId="0" borderId="1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3" fontId="3" fillId="0" borderId="10" xfId="0" applyNumberFormat="1" applyFont="1" applyBorder="1"/>
    <xf numFmtId="10" fontId="3" fillId="0" borderId="6" xfId="3" applyNumberFormat="1" applyFont="1" applyBorder="1"/>
    <xf numFmtId="0" fontId="11" fillId="0" borderId="0" xfId="0" applyFont="1"/>
    <xf numFmtId="0" fontId="3" fillId="2" borderId="1" xfId="0" applyFont="1" applyFill="1" applyBorder="1" applyAlignment="1">
      <alignment horizontal="center"/>
    </xf>
    <xf numFmtId="3" fontId="3" fillId="0" borderId="9" xfId="0" applyNumberFormat="1" applyFont="1" applyBorder="1"/>
    <xf numFmtId="16" fontId="3" fillId="0" borderId="9" xfId="0" applyNumberFormat="1" applyFont="1" applyBorder="1"/>
    <xf numFmtId="16" fontId="3" fillId="0" borderId="10" xfId="0" applyNumberFormat="1" applyFont="1" applyBorder="1"/>
    <xf numFmtId="3" fontId="3" fillId="3" borderId="14" xfId="0" applyNumberFormat="1" applyFont="1" applyFill="1" applyBorder="1"/>
    <xf numFmtId="3" fontId="3" fillId="3" borderId="7" xfId="0" applyNumberFormat="1" applyFont="1" applyFill="1" applyBorder="1"/>
    <xf numFmtId="3" fontId="3" fillId="3" borderId="15" xfId="0" applyNumberFormat="1" applyFont="1" applyFill="1" applyBorder="1"/>
    <xf numFmtId="3" fontId="3" fillId="3" borderId="13" xfId="0" applyNumberFormat="1" applyFont="1" applyFill="1" applyBorder="1"/>
    <xf numFmtId="0" fontId="2" fillId="0" borderId="6" xfId="0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3" fillId="0" borderId="14" xfId="0" applyFont="1" applyFill="1" applyBorder="1"/>
    <xf numFmtId="0" fontId="3" fillId="0" borderId="7" xfId="0" applyFont="1" applyFill="1" applyBorder="1"/>
    <xf numFmtId="0" fontId="3" fillId="0" borderId="15" xfId="0" applyFont="1" applyFill="1" applyBorder="1"/>
    <xf numFmtId="3" fontId="3" fillId="0" borderId="4" xfId="3" applyNumberFormat="1" applyFont="1" applyBorder="1"/>
    <xf numFmtId="3" fontId="5" fillId="0" borderId="11" xfId="3" applyNumberFormat="1" applyFont="1" applyBorder="1"/>
    <xf numFmtId="0" fontId="3" fillId="0" borderId="13" xfId="0" applyFont="1" applyFill="1" applyBorder="1"/>
    <xf numFmtId="3" fontId="3" fillId="0" borderId="10" xfId="3" applyNumberFormat="1" applyFont="1" applyBorder="1"/>
    <xf numFmtId="0" fontId="3" fillId="0" borderId="14" xfId="0" applyFont="1" applyBorder="1"/>
    <xf numFmtId="0" fontId="3" fillId="0" borderId="7" xfId="0" applyFont="1" applyBorder="1"/>
    <xf numFmtId="0" fontId="3" fillId="0" borderId="15" xfId="0" applyFont="1" applyBorder="1"/>
    <xf numFmtId="164" fontId="3" fillId="0" borderId="4" xfId="3" applyNumberFormat="1" applyFont="1" applyBorder="1"/>
    <xf numFmtId="3" fontId="3" fillId="0" borderId="0" xfId="3" applyNumberFormat="1" applyFont="1" applyBorder="1"/>
    <xf numFmtId="0" fontId="2" fillId="0" borderId="1" xfId="0" applyFont="1" applyBorder="1"/>
    <xf numFmtId="3" fontId="2" fillId="0" borderId="0" xfId="0" applyNumberFormat="1" applyFont="1" applyBorder="1"/>
    <xf numFmtId="171" fontId="3" fillId="0" borderId="0" xfId="0" applyNumberFormat="1" applyFont="1"/>
    <xf numFmtId="1" fontId="3" fillId="0" borderId="8" xfId="0" applyNumberFormat="1" applyFont="1" applyBorder="1" applyAlignment="1">
      <alignment horizontal="centerContinuous"/>
    </xf>
    <xf numFmtId="1" fontId="3" fillId="0" borderId="11" xfId="0" applyNumberFormat="1" applyFont="1" applyBorder="1" applyAlignment="1">
      <alignment horizontal="centerContinuous"/>
    </xf>
    <xf numFmtId="1" fontId="3" fillId="0" borderId="12" xfId="0" applyNumberFormat="1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71" fontId="3" fillId="0" borderId="3" xfId="0" applyNumberFormat="1" applyFont="1" applyBorder="1"/>
    <xf numFmtId="171" fontId="3" fillId="0" borderId="11" xfId="0" applyNumberFormat="1" applyFont="1" applyBorder="1"/>
    <xf numFmtId="171" fontId="3" fillId="0" borderId="0" xfId="0" applyNumberFormat="1" applyFont="1" applyBorder="1"/>
    <xf numFmtId="171" fontId="3" fillId="0" borderId="6" xfId="0" applyNumberFormat="1" applyFont="1" applyBorder="1" applyAlignment="1">
      <alignment horizontal="center"/>
    </xf>
    <xf numFmtId="4" fontId="5" fillId="0" borderId="5" xfId="0" applyNumberFormat="1" applyFont="1" applyBorder="1" applyAlignment="1">
      <alignment horizontal="center"/>
    </xf>
    <xf numFmtId="171" fontId="3" fillId="0" borderId="4" xfId="0" applyNumberFormat="1" applyFont="1" applyBorder="1"/>
    <xf numFmtId="0" fontId="3" fillId="0" borderId="15" xfId="0" applyFont="1" applyBorder="1" applyAlignment="1">
      <alignment horizontal="center"/>
    </xf>
    <xf numFmtId="172" fontId="3" fillId="0" borderId="11" xfId="0" applyNumberFormat="1" applyFont="1" applyBorder="1"/>
    <xf numFmtId="165" fontId="5" fillId="0" borderId="12" xfId="0" applyNumberFormat="1" applyFont="1" applyBorder="1"/>
    <xf numFmtId="165" fontId="7" fillId="0" borderId="2" xfId="0" applyNumberFormat="1" applyFont="1" applyBorder="1"/>
    <xf numFmtId="165" fontId="5" fillId="0" borderId="2" xfId="0" applyNumberFormat="1" applyFont="1" applyBorder="1"/>
    <xf numFmtId="165" fontId="5" fillId="0" borderId="5" xfId="0" applyNumberFormat="1" applyFont="1" applyBorder="1"/>
    <xf numFmtId="0" fontId="5" fillId="0" borderId="1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4" fontId="3" fillId="0" borderId="0" xfId="0" applyNumberFormat="1" applyFont="1"/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center"/>
    </xf>
    <xf numFmtId="4" fontId="3" fillId="2" borderId="15" xfId="0" applyNumberFormat="1" applyFont="1" applyFill="1" applyBorder="1"/>
    <xf numFmtId="165" fontId="3" fillId="0" borderId="5" xfId="0" applyNumberFormat="1" applyFont="1" applyBorder="1"/>
    <xf numFmtId="0" fontId="3" fillId="0" borderId="11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164" fontId="3" fillId="0" borderId="11" xfId="3" applyNumberFormat="1" applyFont="1" applyBorder="1"/>
    <xf numFmtId="4" fontId="2" fillId="0" borderId="11" xfId="0" applyNumberFormat="1" applyFont="1" applyBorder="1"/>
    <xf numFmtId="9" fontId="3" fillId="0" borderId="0" xfId="3" applyFont="1" applyBorder="1"/>
    <xf numFmtId="0" fontId="3" fillId="0" borderId="4" xfId="0" applyFont="1" applyBorder="1" applyAlignment="1">
      <alignment horizontal="left"/>
    </xf>
    <xf numFmtId="4" fontId="2" fillId="0" borderId="4" xfId="0" applyNumberFormat="1" applyFont="1" applyBorder="1"/>
    <xf numFmtId="3" fontId="2" fillId="0" borderId="13" xfId="0" applyNumberFormat="1" applyFont="1" applyBorder="1"/>
    <xf numFmtId="9" fontId="3" fillId="0" borderId="10" xfId="3" applyFont="1" applyBorder="1"/>
    <xf numFmtId="9" fontId="3" fillId="0" borderId="12" xfId="3" applyFont="1" applyBorder="1"/>
    <xf numFmtId="9" fontId="3" fillId="0" borderId="2" xfId="3" applyFont="1" applyBorder="1"/>
    <xf numFmtId="9" fontId="3" fillId="0" borderId="6" xfId="3" applyFont="1" applyBorder="1"/>
    <xf numFmtId="0" fontId="3" fillId="2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3" fillId="2" borderId="8" xfId="0" applyFont="1" applyFill="1" applyBorder="1" applyAlignment="1">
      <alignment horizontal="center" vertical="center"/>
    </xf>
    <xf numFmtId="3" fontId="4" fillId="2" borderId="1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Continuous" vertical="center"/>
    </xf>
    <xf numFmtId="1" fontId="3" fillId="2" borderId="8" xfId="0" applyNumberFormat="1" applyFont="1" applyFill="1" applyBorder="1" applyAlignment="1">
      <alignment horizontal="centerContinuous" vertical="center"/>
    </xf>
    <xf numFmtId="1" fontId="3" fillId="2" borderId="12" xfId="0" applyNumberFormat="1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7" xfId="0" applyFont="1" applyFill="1" applyBorder="1"/>
    <xf numFmtId="0" fontId="3" fillId="2" borderId="15" xfId="0" applyFont="1" applyFill="1" applyBorder="1"/>
    <xf numFmtId="3" fontId="3" fillId="0" borderId="3" xfId="0" applyNumberFormat="1" applyFont="1" applyBorder="1"/>
    <xf numFmtId="3" fontId="2" fillId="0" borderId="1" xfId="0" applyNumberFormat="1" applyFont="1" applyFill="1" applyBorder="1"/>
    <xf numFmtId="3" fontId="2" fillId="0" borderId="2" xfId="0" applyNumberFormat="1" applyFont="1" applyBorder="1"/>
    <xf numFmtId="0" fontId="5" fillId="0" borderId="4" xfId="0" quotePrefix="1" applyFont="1" applyBorder="1" applyAlignment="1">
      <alignment horizontal="center"/>
    </xf>
    <xf numFmtId="14" fontId="5" fillId="0" borderId="4" xfId="0" quotePrefix="1" applyNumberFormat="1" applyFont="1" applyBorder="1" applyAlignment="1">
      <alignment horizontal="center"/>
    </xf>
    <xf numFmtId="10" fontId="3" fillId="0" borderId="0" xfId="3" applyNumberFormat="1" applyFont="1" applyBorder="1"/>
    <xf numFmtId="0" fontId="3" fillId="0" borderId="0" xfId="0" applyFont="1" applyBorder="1" applyAlignment="1">
      <alignment horizontal="right"/>
    </xf>
    <xf numFmtId="165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172" fontId="3" fillId="0" borderId="0" xfId="0" applyNumberFormat="1" applyFont="1" applyBorder="1"/>
    <xf numFmtId="3" fontId="7" fillId="0" borderId="2" xfId="0" applyNumberFormat="1" applyFont="1" applyBorder="1"/>
    <xf numFmtId="3" fontId="7" fillId="0" borderId="0" xfId="0" applyNumberFormat="1" applyFont="1"/>
    <xf numFmtId="166" fontId="3" fillId="0" borderId="0" xfId="0" applyNumberFormat="1" applyFont="1"/>
    <xf numFmtId="0" fontId="3" fillId="0" borderId="8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4" fontId="2" fillId="0" borderId="12" xfId="0" applyNumberFormat="1" applyFont="1" applyBorder="1" applyAlignment="1">
      <alignment horizontal="centerContinuous"/>
    </xf>
    <xf numFmtId="4" fontId="3" fillId="0" borderId="4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right"/>
    </xf>
    <xf numFmtId="9" fontId="3" fillId="0" borderId="4" xfId="3" applyFont="1" applyBorder="1"/>
    <xf numFmtId="4" fontId="3" fillId="0" borderId="11" xfId="0" applyNumberFormat="1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9" fontId="7" fillId="0" borderId="7" xfId="3" applyFont="1" applyBorder="1"/>
    <xf numFmtId="3" fontId="3" fillId="0" borderId="15" xfId="0" applyNumberFormat="1" applyFont="1" applyBorder="1"/>
    <xf numFmtId="166" fontId="3" fillId="0" borderId="1" xfId="0" applyNumberFormat="1" applyFont="1" applyBorder="1"/>
    <xf numFmtId="0" fontId="4" fillId="0" borderId="13" xfId="0" applyFont="1" applyBorder="1" applyAlignment="1">
      <alignment horizontal="centerContinuous"/>
    </xf>
    <xf numFmtId="3" fontId="2" fillId="0" borderId="3" xfId="0" applyNumberFormat="1" applyFont="1" applyBorder="1"/>
    <xf numFmtId="9" fontId="2" fillId="0" borderId="4" xfId="3" applyFont="1" applyBorder="1"/>
    <xf numFmtId="0" fontId="3" fillId="0" borderId="9" xfId="0" applyFont="1" applyBorder="1" applyAlignment="1">
      <alignment horizontal="left"/>
    </xf>
    <xf numFmtId="164" fontId="3" fillId="0" borderId="10" xfId="3" applyNumberFormat="1" applyFont="1" applyBorder="1"/>
    <xf numFmtId="4" fontId="2" fillId="0" borderId="10" xfId="0" applyNumberFormat="1" applyFont="1" applyBorder="1"/>
    <xf numFmtId="3" fontId="2" fillId="0" borderId="6" xfId="0" applyNumberFormat="1" applyFont="1" applyBorder="1"/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3" fontId="3" fillId="0" borderId="4" xfId="0" applyNumberFormat="1" applyFont="1" applyBorder="1" applyAlignment="1">
      <alignment horizontal="right"/>
    </xf>
    <xf numFmtId="166" fontId="3" fillId="4" borderId="9" xfId="0" applyNumberFormat="1" applyFont="1" applyFill="1" applyBorder="1"/>
    <xf numFmtId="3" fontId="3" fillId="4" borderId="10" xfId="0" applyNumberFormat="1" applyFont="1" applyFill="1" applyBorder="1"/>
    <xf numFmtId="164" fontId="3" fillId="4" borderId="10" xfId="3" applyNumberFormat="1" applyFont="1" applyFill="1" applyBorder="1"/>
    <xf numFmtId="0" fontId="3" fillId="4" borderId="10" xfId="0" applyFont="1" applyFill="1" applyBorder="1"/>
    <xf numFmtId="9" fontId="3" fillId="4" borderId="6" xfId="3" applyFont="1" applyFill="1" applyBorder="1"/>
    <xf numFmtId="0" fontId="0" fillId="5" borderId="0" xfId="0" applyFill="1"/>
    <xf numFmtId="14" fontId="7" fillId="0" borderId="1" xfId="0" quotePrefix="1" applyNumberFormat="1" applyFont="1" applyBorder="1" applyAlignment="1">
      <alignment horizontal="center"/>
    </xf>
    <xf numFmtId="9" fontId="3" fillId="0" borderId="0" xfId="0" applyNumberFormat="1" applyFont="1"/>
    <xf numFmtId="0" fontId="2" fillId="0" borderId="0" xfId="0" applyFont="1"/>
    <xf numFmtId="4" fontId="5" fillId="0" borderId="0" xfId="0" applyNumberFormat="1" applyFont="1"/>
    <xf numFmtId="3" fontId="14" fillId="0" borderId="2" xfId="0" applyNumberFormat="1" applyFont="1" applyBorder="1"/>
    <xf numFmtId="2" fontId="3" fillId="0" borderId="0" xfId="0" applyNumberFormat="1" applyFont="1"/>
    <xf numFmtId="1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164" fontId="7" fillId="0" borderId="10" xfId="3" applyNumberFormat="1" applyFont="1" applyBorder="1"/>
    <xf numFmtId="0" fontId="3" fillId="0" borderId="8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4" fontId="4" fillId="0" borderId="0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14" fontId="4" fillId="0" borderId="4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4" fontId="3" fillId="0" borderId="10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4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3" fontId="4" fillId="0" borderId="0" xfId="0" applyNumberFormat="1" applyFont="1" applyBorder="1" applyAlignment="1">
      <alignment vertical="center"/>
    </xf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166" fontId="3" fillId="4" borderId="0" xfId="0" applyNumberFormat="1" applyFont="1" applyFill="1" applyBorder="1"/>
    <xf numFmtId="3" fontId="3" fillId="4" borderId="0" xfId="0" applyNumberFormat="1" applyFont="1" applyFill="1" applyBorder="1"/>
    <xf numFmtId="164" fontId="3" fillId="4" borderId="0" xfId="3" applyNumberFormat="1" applyFont="1" applyFill="1" applyBorder="1"/>
    <xf numFmtId="0" fontId="3" fillId="4" borderId="0" xfId="0" applyFont="1" applyFill="1" applyBorder="1"/>
    <xf numFmtId="9" fontId="3" fillId="4" borderId="0" xfId="3" applyFont="1" applyFill="1" applyBorder="1"/>
    <xf numFmtId="3" fontId="2" fillId="3" borderId="13" xfId="0" applyNumberFormat="1" applyFont="1" applyFill="1" applyBorder="1"/>
    <xf numFmtId="3" fontId="3" fillId="0" borderId="0" xfId="0" applyNumberFormat="1" applyFont="1" applyAlignment="1">
      <alignment horizontal="center"/>
    </xf>
    <xf numFmtId="14" fontId="3" fillId="0" borderId="11" xfId="0" applyNumberFormat="1" applyFont="1" applyBorder="1"/>
    <xf numFmtId="3" fontId="3" fillId="0" borderId="14" xfId="0" applyNumberFormat="1" applyFont="1" applyBorder="1"/>
    <xf numFmtId="3" fontId="3" fillId="0" borderId="7" xfId="0" applyNumberFormat="1" applyFont="1" applyBorder="1"/>
    <xf numFmtId="14" fontId="3" fillId="0" borderId="0" xfId="0" applyNumberFormat="1" applyFont="1" applyBorder="1"/>
    <xf numFmtId="14" fontId="3" fillId="0" borderId="4" xfId="0" applyNumberFormat="1" applyFont="1" applyBorder="1"/>
    <xf numFmtId="14" fontId="5" fillId="0" borderId="11" xfId="0" applyNumberFormat="1" applyFont="1" applyBorder="1"/>
    <xf numFmtId="3" fontId="5" fillId="0" borderId="12" xfId="0" applyNumberFormat="1" applyFont="1" applyBorder="1"/>
    <xf numFmtId="3" fontId="7" fillId="0" borderId="12" xfId="0" applyNumberFormat="1" applyFont="1" applyBorder="1"/>
    <xf numFmtId="171" fontId="3" fillId="0" borderId="12" xfId="0" applyNumberFormat="1" applyFont="1" applyBorder="1"/>
    <xf numFmtId="3" fontId="15" fillId="0" borderId="1" xfId="0" applyNumberFormat="1" applyFont="1" applyBorder="1" applyAlignment="1">
      <alignment vertical="center"/>
    </xf>
    <xf numFmtId="16" fontId="3" fillId="6" borderId="10" xfId="0" applyNumberFormat="1" applyFont="1" applyFill="1" applyBorder="1"/>
    <xf numFmtId="3" fontId="3" fillId="6" borderId="11" xfId="0" applyNumberFormat="1" applyFont="1" applyFill="1" applyBorder="1"/>
    <xf numFmtId="3" fontId="3" fillId="6" borderId="0" xfId="0" applyNumberFormat="1" applyFont="1" applyFill="1" applyBorder="1"/>
    <xf numFmtId="3" fontId="2" fillId="6" borderId="10" xfId="0" applyNumberFormat="1" applyFont="1" applyFill="1" applyBorder="1"/>
    <xf numFmtId="0" fontId="3" fillId="6" borderId="0" xfId="0" applyFont="1" applyFill="1" applyBorder="1"/>
    <xf numFmtId="3" fontId="3" fillId="6" borderId="0" xfId="3" applyNumberFormat="1" applyFont="1" applyFill="1" applyBorder="1"/>
    <xf numFmtId="164" fontId="3" fillId="6" borderId="0" xfId="3" applyNumberFormat="1" applyFont="1" applyFill="1" applyBorder="1"/>
    <xf numFmtId="3" fontId="5" fillId="6" borderId="11" xfId="3" applyNumberFormat="1" applyFont="1" applyFill="1" applyBorder="1"/>
    <xf numFmtId="3" fontId="3" fillId="6" borderId="4" xfId="3" applyNumberFormat="1" applyFont="1" applyFill="1" applyBorder="1"/>
    <xf numFmtId="3" fontId="3" fillId="6" borderId="10" xfId="3" applyNumberFormat="1" applyFont="1" applyFill="1" applyBorder="1"/>
    <xf numFmtId="0" fontId="3" fillId="6" borderId="0" xfId="0" applyFont="1" applyFill="1"/>
    <xf numFmtId="3" fontId="2" fillId="6" borderId="0" xfId="0" applyNumberFormat="1" applyFont="1" applyFill="1" applyBorder="1"/>
    <xf numFmtId="164" fontId="3" fillId="6" borderId="4" xfId="3" applyNumberFormat="1" applyFont="1" applyFill="1" applyBorder="1"/>
    <xf numFmtId="3" fontId="3" fillId="6" borderId="10" xfId="0" applyNumberFormat="1" applyFont="1" applyFill="1" applyBorder="1"/>
    <xf numFmtId="164" fontId="3" fillId="0" borderId="7" xfId="0" applyNumberFormat="1" applyFont="1" applyBorder="1" applyAlignment="1">
      <alignment horizontal="center"/>
    </xf>
    <xf numFmtId="164" fontId="3" fillId="0" borderId="15" xfId="0" applyNumberFormat="1" applyFont="1" applyBorder="1" applyAlignment="1">
      <alignment horizontal="center"/>
    </xf>
    <xf numFmtId="0" fontId="3" fillId="0" borderId="19" xfId="0" applyFont="1" applyBorder="1"/>
    <xf numFmtId="4" fontId="3" fillId="0" borderId="20" xfId="0" applyNumberFormat="1" applyFont="1" applyBorder="1"/>
    <xf numFmtId="0" fontId="3" fillId="0" borderId="21" xfId="0" applyFont="1" applyBorder="1"/>
    <xf numFmtId="14" fontId="3" fillId="0" borderId="22" xfId="0" applyNumberFormat="1" applyFont="1" applyBorder="1"/>
    <xf numFmtId="0" fontId="3" fillId="0" borderId="23" xfId="0" applyFont="1" applyBorder="1"/>
    <xf numFmtId="0" fontId="3" fillId="0" borderId="24" xfId="0" applyFont="1" applyBorder="1"/>
    <xf numFmtId="3" fontId="3" fillId="0" borderId="11" xfId="0" applyNumberFormat="1" applyFont="1" applyBorder="1" applyAlignment="1">
      <alignment horizontal="right"/>
    </xf>
    <xf numFmtId="9" fontId="3" fillId="0" borderId="5" xfId="3" applyFont="1" applyBorder="1"/>
    <xf numFmtId="14" fontId="16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4" fontId="16" fillId="0" borderId="8" xfId="0" applyNumberFormat="1" applyFont="1" applyBorder="1"/>
    <xf numFmtId="14" fontId="16" fillId="0" borderId="3" xfId="0" applyNumberFormat="1" applyFont="1" applyBorder="1"/>
    <xf numFmtId="3" fontId="5" fillId="0" borderId="11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4" xfId="0" applyNumberFormat="1" applyFont="1" applyBorder="1" applyAlignment="1">
      <alignment horizontal="right"/>
    </xf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3" fillId="0" borderId="3" xfId="0" applyNumberFormat="1" applyFont="1" applyBorder="1" applyAlignment="1">
      <alignment horizontal="left" indent="1"/>
    </xf>
    <xf numFmtId="173" fontId="3" fillId="0" borderId="0" xfId="0" applyNumberFormat="1" applyFont="1" applyBorder="1"/>
    <xf numFmtId="171" fontId="3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5" fillId="0" borderId="14" xfId="0" applyNumberFormat="1" applyFont="1" applyBorder="1"/>
    <xf numFmtId="0" fontId="0" fillId="0" borderId="11" xfId="0" applyFill="1" applyBorder="1"/>
    <xf numFmtId="3" fontId="5" fillId="0" borderId="7" xfId="0" applyNumberFormat="1" applyFont="1" applyBorder="1"/>
    <xf numFmtId="0" fontId="0" fillId="0" borderId="4" xfId="0" applyFill="1" applyBorder="1"/>
    <xf numFmtId="3" fontId="3" fillId="0" borderId="3" xfId="0" applyNumberFormat="1" applyFont="1" applyFill="1" applyBorder="1" applyAlignment="1">
      <alignment horizontal="left" indent="1"/>
    </xf>
    <xf numFmtId="0" fontId="2" fillId="3" borderId="0" xfId="0" applyFont="1" applyFill="1" applyAlignment="1">
      <alignment horizontal="center"/>
    </xf>
    <xf numFmtId="9" fontId="17" fillId="3" borderId="0" xfId="3" applyFont="1" applyFill="1" applyAlignment="1">
      <alignment horizontal="center"/>
    </xf>
    <xf numFmtId="0" fontId="3" fillId="0" borderId="13" xfId="0" applyFont="1" applyBorder="1"/>
    <xf numFmtId="3" fontId="3" fillId="3" borderId="1" xfId="0" applyNumberFormat="1" applyFont="1" applyFill="1" applyBorder="1" applyAlignment="1">
      <alignment horizontal="left" indent="1"/>
    </xf>
    <xf numFmtId="0" fontId="16" fillId="5" borderId="0" xfId="0" applyFont="1" applyFill="1" applyAlignment="1">
      <alignment horizontal="left" wrapText="1"/>
    </xf>
    <xf numFmtId="0" fontId="6" fillId="5" borderId="0" xfId="1" applyFill="1" applyAlignment="1" applyProtection="1">
      <alignment horizontal="center" wrapText="1"/>
    </xf>
    <xf numFmtId="0" fontId="16" fillId="5" borderId="0" xfId="0" applyFont="1" applyFill="1" applyAlignment="1">
      <alignment wrapText="1"/>
    </xf>
    <xf numFmtId="0" fontId="16" fillId="5" borderId="0" xfId="0" applyFont="1" applyFill="1" applyAlignment="1">
      <alignment horizontal="right" wrapText="1"/>
    </xf>
    <xf numFmtId="4" fontId="16" fillId="5" borderId="0" xfId="0" applyNumberFormat="1" applyFont="1" applyFill="1" applyAlignment="1">
      <alignment horizontal="right" wrapText="1"/>
    </xf>
    <xf numFmtId="14" fontId="16" fillId="5" borderId="0" xfId="0" applyNumberFormat="1" applyFont="1" applyFill="1" applyAlignment="1">
      <alignment horizontal="center" wrapText="1"/>
    </xf>
    <xf numFmtId="3" fontId="16" fillId="5" borderId="0" xfId="0" applyNumberFormat="1" applyFont="1" applyFill="1" applyAlignment="1">
      <alignment horizontal="right" wrapText="1"/>
    </xf>
    <xf numFmtId="3" fontId="3" fillId="0" borderId="8" xfId="0" applyNumberFormat="1" applyFont="1" applyFill="1" applyBorder="1" applyAlignment="1">
      <alignment horizontal="left" indent="1"/>
    </xf>
    <xf numFmtId="3" fontId="5" fillId="0" borderId="5" xfId="0" applyNumberFormat="1" applyFont="1" applyBorder="1"/>
    <xf numFmtId="3" fontId="3" fillId="0" borderId="1" xfId="3" applyNumberFormat="1" applyFont="1" applyBorder="1"/>
    <xf numFmtId="164" fontId="3" fillId="0" borderId="1" xfId="3" applyNumberFormat="1" applyFont="1" applyBorder="1"/>
    <xf numFmtId="3" fontId="5" fillId="0" borderId="8" xfId="3" applyNumberFormat="1" applyFont="1" applyBorder="1"/>
    <xf numFmtId="3" fontId="3" fillId="0" borderId="3" xfId="3" applyNumberFormat="1" applyFont="1" applyBorder="1"/>
    <xf numFmtId="3" fontId="3" fillId="0" borderId="9" xfId="3" applyNumberFormat="1" applyFont="1" applyBorder="1"/>
    <xf numFmtId="3" fontId="2" fillId="0" borderId="1" xfId="0" applyNumberFormat="1" applyFont="1" applyBorder="1"/>
    <xf numFmtId="164" fontId="3" fillId="0" borderId="3" xfId="3" applyNumberFormat="1" applyFont="1" applyBorder="1"/>
    <xf numFmtId="16" fontId="3" fillId="0" borderId="6" xfId="0" applyNumberFormat="1" applyFont="1" applyBorder="1"/>
    <xf numFmtId="3" fontId="3" fillId="0" borderId="2" xfId="3" applyNumberFormat="1" applyFont="1" applyBorder="1"/>
    <xf numFmtId="3" fontId="5" fillId="0" borderId="12" xfId="3" applyNumberFormat="1" applyFont="1" applyBorder="1"/>
    <xf numFmtId="3" fontId="3" fillId="0" borderId="5" xfId="3" applyNumberFormat="1" applyFont="1" applyBorder="1"/>
    <xf numFmtId="3" fontId="3" fillId="0" borderId="6" xfId="3" applyNumberFormat="1" applyFont="1" applyBorder="1"/>
    <xf numFmtId="3" fontId="2" fillId="3" borderId="9" xfId="0" applyNumberFormat="1" applyFont="1" applyFill="1" applyBorder="1"/>
    <xf numFmtId="3" fontId="2" fillId="3" borderId="10" xfId="0" applyNumberFormat="1" applyFont="1" applyFill="1" applyBorder="1"/>
    <xf numFmtId="3" fontId="2" fillId="3" borderId="6" xfId="0" applyNumberFormat="1" applyFont="1" applyFill="1" applyBorder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19" fillId="0" borderId="0" xfId="0" applyNumberFormat="1" applyFont="1"/>
    <xf numFmtId="0" fontId="5" fillId="0" borderId="5" xfId="0" applyFont="1" applyBorder="1"/>
    <xf numFmtId="3" fontId="3" fillId="3" borderId="2" xfId="0" applyNumberFormat="1" applyFont="1" applyFill="1" applyBorder="1"/>
    <xf numFmtId="3" fontId="3" fillId="0" borderId="0" xfId="0" applyNumberFormat="1" applyFont="1" applyBorder="1" applyAlignment="1">
      <alignment horizontal="left" indent="1"/>
    </xf>
    <xf numFmtId="0" fontId="2" fillId="0" borderId="13" xfId="0" applyFont="1" applyBorder="1"/>
    <xf numFmtId="164" fontId="17" fillId="3" borderId="0" xfId="3" applyNumberFormat="1" applyFont="1" applyFill="1" applyAlignment="1">
      <alignment horizontal="center"/>
    </xf>
    <xf numFmtId="10" fontId="3" fillId="0" borderId="9" xfId="3" applyNumberFormat="1" applyFont="1" applyBorder="1"/>
    <xf numFmtId="3" fontId="5" fillId="0" borderId="13" xfId="0" applyNumberFormat="1" applyFont="1" applyBorder="1" applyAlignment="1">
      <alignment horizontal="center"/>
    </xf>
    <xf numFmtId="0" fontId="2" fillId="0" borderId="9" xfId="0" applyFont="1" applyBorder="1"/>
    <xf numFmtId="16" fontId="3" fillId="0" borderId="0" xfId="0" applyNumberFormat="1" applyFont="1"/>
    <xf numFmtId="3" fontId="7" fillId="0" borderId="0" xfId="0" applyNumberFormat="1" applyFont="1" applyBorder="1"/>
    <xf numFmtId="0" fontId="3" fillId="0" borderId="0" xfId="0" applyFont="1" applyFill="1"/>
    <xf numFmtId="0" fontId="3" fillId="0" borderId="7" xfId="0" applyFont="1" applyFill="1" applyBorder="1" applyAlignment="1">
      <alignment horizontal="center"/>
    </xf>
    <xf numFmtId="14" fontId="5" fillId="0" borderId="1" xfId="0" quotePrefix="1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3" applyFont="1" applyFill="1" applyBorder="1"/>
    <xf numFmtId="9" fontId="3" fillId="0" borderId="2" xfId="3" applyFont="1" applyFill="1" applyBorder="1"/>
    <xf numFmtId="3" fontId="3" fillId="0" borderId="1" xfId="0" applyNumberFormat="1" applyFont="1" applyFill="1" applyBorder="1"/>
    <xf numFmtId="4" fontId="3" fillId="0" borderId="2" xfId="0" applyNumberFormat="1" applyFont="1" applyFill="1" applyBorder="1"/>
    <xf numFmtId="164" fontId="3" fillId="0" borderId="2" xfId="3" applyNumberFormat="1" applyFont="1" applyFill="1" applyBorder="1"/>
    <xf numFmtId="3" fontId="3" fillId="0" borderId="2" xfId="0" applyNumberFormat="1" applyFont="1" applyFill="1" applyBorder="1"/>
    <xf numFmtId="164" fontId="3" fillId="0" borderId="7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4" fontId="5" fillId="4" borderId="1" xfId="0" quotePrefix="1" applyNumberFormat="1" applyFont="1" applyFill="1" applyBorder="1" applyAlignment="1">
      <alignment horizontal="center"/>
    </xf>
    <xf numFmtId="14" fontId="5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3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1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1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19" fillId="0" borderId="0" xfId="0" applyFont="1" applyAlignment="1">
      <alignment vertical="center"/>
    </xf>
    <xf numFmtId="14" fontId="19" fillId="0" borderId="1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25" fillId="0" borderId="11" xfId="0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3" fillId="0" borderId="0" xfId="0" applyNumberFormat="1" applyFont="1" applyAlignment="1">
      <alignment horizontal="center" vertical="center"/>
    </xf>
    <xf numFmtId="0" fontId="25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3" fillId="0" borderId="6" xfId="0" applyNumberFormat="1" applyFont="1" applyBorder="1" applyAlignment="1">
      <alignment vertical="center"/>
    </xf>
    <xf numFmtId="0" fontId="7" fillId="0" borderId="0" xfId="0" applyFont="1"/>
    <xf numFmtId="0" fontId="3" fillId="4" borderId="14" xfId="0" applyFont="1" applyFill="1" applyBorder="1" applyAlignment="1">
      <alignment horizontal="center"/>
    </xf>
    <xf numFmtId="14" fontId="5" fillId="4" borderId="8" xfId="0" quotePrefix="1" applyNumberFormat="1" applyFont="1" applyFill="1" applyBorder="1" applyAlignment="1">
      <alignment horizontal="center"/>
    </xf>
    <xf numFmtId="3" fontId="5" fillId="0" borderId="11" xfId="0" applyNumberFormat="1" applyFont="1" applyFill="1" applyBorder="1"/>
    <xf numFmtId="9" fontId="3" fillId="0" borderId="11" xfId="3" applyFont="1" applyFill="1" applyBorder="1"/>
    <xf numFmtId="9" fontId="3" fillId="0" borderId="12" xfId="3" applyFont="1" applyFill="1" applyBorder="1"/>
    <xf numFmtId="3" fontId="3" fillId="0" borderId="8" xfId="0" applyNumberFormat="1" applyFont="1" applyFill="1" applyBorder="1"/>
    <xf numFmtId="4" fontId="3" fillId="0" borderId="12" xfId="0" applyNumberFormat="1" applyFont="1" applyFill="1" applyBorder="1"/>
    <xf numFmtId="164" fontId="3" fillId="0" borderId="1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8" fontId="5" fillId="4" borderId="12" xfId="0" applyNumberFormat="1" applyFont="1" applyFill="1" applyBorder="1" applyAlignment="1">
      <alignment horizontal="center"/>
    </xf>
    <xf numFmtId="168" fontId="5" fillId="0" borderId="2" xfId="0" applyNumberFormat="1" applyFont="1" applyFill="1" applyBorder="1" applyAlignment="1">
      <alignment horizontal="center"/>
    </xf>
    <xf numFmtId="168" fontId="5" fillId="4" borderId="2" xfId="0" applyNumberFormat="1" applyFont="1" applyFill="1" applyBorder="1" applyAlignment="1">
      <alignment horizontal="center"/>
    </xf>
    <xf numFmtId="168" fontId="5" fillId="0" borderId="2" xfId="0" applyNumberFormat="1" applyFont="1" applyBorder="1" applyAlignment="1">
      <alignment horizontal="center"/>
    </xf>
    <xf numFmtId="0" fontId="3" fillId="0" borderId="16" xfId="0" applyFont="1" applyBorder="1"/>
    <xf numFmtId="0" fontId="3" fillId="0" borderId="17" xfId="0" applyFont="1" applyBorder="1"/>
    <xf numFmtId="3" fontId="3" fillId="0" borderId="18" xfId="0" applyNumberFormat="1" applyFont="1" applyBorder="1"/>
    <xf numFmtId="14" fontId="3" fillId="0" borderId="8" xfId="0" applyNumberFormat="1" applyFont="1" applyBorder="1"/>
    <xf numFmtId="14" fontId="3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5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6" fillId="0" borderId="0" xfId="0" applyFont="1" applyAlignment="1">
      <alignment vertical="center"/>
    </xf>
    <xf numFmtId="169" fontId="25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7" fillId="0" borderId="1" xfId="0" applyNumberFormat="1" applyFont="1" applyFill="1" applyBorder="1" applyAlignment="1">
      <alignment horizontal="left" indent="1"/>
    </xf>
    <xf numFmtId="14" fontId="7" fillId="0" borderId="0" xfId="0" quotePrefix="1" applyNumberFormat="1" applyFont="1" applyBorder="1" applyAlignment="1">
      <alignment horizontal="center"/>
    </xf>
    <xf numFmtId="165" fontId="7" fillId="0" borderId="0" xfId="0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164" fontId="7" fillId="0" borderId="2" xfId="3" applyNumberFormat="1" applyFont="1" applyBorder="1"/>
    <xf numFmtId="15" fontId="3" fillId="0" borderId="0" xfId="0" applyNumberFormat="1" applyFont="1" applyAlignment="1">
      <alignment horizontal="centerContinuous"/>
    </xf>
    <xf numFmtId="0" fontId="10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7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5" fillId="0" borderId="0" xfId="0" applyNumberFormat="1" applyFont="1" applyFill="1" applyBorder="1"/>
    <xf numFmtId="4" fontId="5" fillId="0" borderId="4" xfId="0" applyNumberFormat="1" applyFont="1" applyFill="1" applyBorder="1"/>
    <xf numFmtId="165" fontId="3" fillId="0" borderId="4" xfId="0" applyNumberFormat="1" applyFont="1" applyBorder="1"/>
    <xf numFmtId="4" fontId="5" fillId="0" borderId="1" xfId="0" applyNumberFormat="1" applyFont="1" applyBorder="1"/>
    <xf numFmtId="4" fontId="5" fillId="0" borderId="28" xfId="0" applyNumberFormat="1" applyFont="1" applyBorder="1"/>
    <xf numFmtId="164" fontId="3" fillId="0" borderId="29" xfId="3" applyNumberFormat="1" applyFont="1" applyBorder="1"/>
    <xf numFmtId="4" fontId="2" fillId="0" borderId="9" xfId="0" applyNumberFormat="1" applyFont="1" applyBorder="1"/>
    <xf numFmtId="4" fontId="3" fillId="2" borderId="14" xfId="0" applyNumberFormat="1" applyFont="1" applyFill="1" applyBorder="1"/>
    <xf numFmtId="4" fontId="3" fillId="2" borderId="7" xfId="0" applyNumberFormat="1" applyFont="1" applyFill="1" applyBorder="1"/>
    <xf numFmtId="3" fontId="3" fillId="0" borderId="0" xfId="0" applyNumberFormat="1" applyFont="1" applyAlignment="1">
      <alignment horizontal="right"/>
    </xf>
    <xf numFmtId="4" fontId="28" fillId="0" borderId="0" xfId="0" applyNumberFormat="1" applyFont="1"/>
    <xf numFmtId="14" fontId="3" fillId="0" borderId="1" xfId="0" applyNumberFormat="1" applyFont="1" applyBorder="1"/>
    <xf numFmtId="4" fontId="3" fillId="0" borderId="0" xfId="0" applyNumberFormat="1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4" fontId="3" fillId="0" borderId="30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0" fontId="29" fillId="0" borderId="0" xfId="0" applyFont="1"/>
    <xf numFmtId="0" fontId="18" fillId="0" borderId="0" xfId="0" applyFont="1"/>
    <xf numFmtId="3" fontId="3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0" fillId="0" borderId="12" xfId="0" applyNumberFormat="1" applyFont="1" applyBorder="1"/>
    <xf numFmtId="3" fontId="30" fillId="0" borderId="2" xfId="0" applyNumberFormat="1" applyFont="1" applyBorder="1"/>
    <xf numFmtId="3" fontId="30" fillId="0" borderId="5" xfId="0" applyNumberFormat="1" applyFont="1" applyBorder="1"/>
    <xf numFmtId="168" fontId="3" fillId="0" borderId="0" xfId="0" applyNumberFormat="1" applyFont="1" applyAlignment="1">
      <alignment horizontal="center"/>
    </xf>
    <xf numFmtId="168" fontId="31" fillId="0" borderId="0" xfId="0" applyNumberFormat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168" fontId="31" fillId="0" borderId="1" xfId="0" applyNumberFormat="1" applyFont="1" applyBorder="1" applyAlignment="1">
      <alignment horizontal="center"/>
    </xf>
    <xf numFmtId="168" fontId="31" fillId="0" borderId="3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168" fontId="3" fillId="0" borderId="7" xfId="0" applyNumberFormat="1" applyFont="1" applyBorder="1" applyAlignment="1">
      <alignment horizontal="center"/>
    </xf>
    <xf numFmtId="168" fontId="3" fillId="0" borderId="15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164" fontId="3" fillId="0" borderId="2" xfId="3" applyNumberFormat="1" applyFont="1" applyBorder="1" applyAlignment="1">
      <alignment horizontal="center"/>
    </xf>
    <xf numFmtId="164" fontId="3" fillId="0" borderId="5" xfId="3" applyNumberFormat="1" applyFont="1" applyBorder="1" applyAlignment="1">
      <alignment horizontal="center"/>
    </xf>
    <xf numFmtId="164" fontId="3" fillId="0" borderId="7" xfId="3" applyNumberFormat="1" applyFont="1" applyBorder="1" applyAlignment="1">
      <alignment horizontal="center"/>
    </xf>
    <xf numFmtId="164" fontId="3" fillId="0" borderId="15" xfId="3" applyNumberFormat="1" applyFont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167" fontId="31" fillId="0" borderId="0" xfId="0" applyNumberFormat="1" applyFont="1" applyBorder="1" applyAlignment="1">
      <alignment horizontal="center"/>
    </xf>
    <xf numFmtId="167" fontId="31" fillId="0" borderId="4" xfId="0" applyNumberFormat="1" applyFont="1" applyBorder="1" applyAlignment="1">
      <alignment horizontal="center"/>
    </xf>
    <xf numFmtId="0" fontId="1" fillId="4" borderId="1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2" fillId="3" borderId="9" xfId="0" applyFont="1" applyFill="1" applyBorder="1" applyAlignment="1">
      <alignment horizontal="center"/>
    </xf>
    <xf numFmtId="164" fontId="17" fillId="3" borderId="6" xfId="3" applyNumberFormat="1" applyFont="1" applyFill="1" applyBorder="1" applyAlignment="1">
      <alignment horizontal="center"/>
    </xf>
    <xf numFmtId="3" fontId="32" fillId="0" borderId="4" xfId="0" applyNumberFormat="1" applyFont="1" applyBorder="1"/>
    <xf numFmtId="0" fontId="3" fillId="0" borderId="0" xfId="0" quotePrefix="1" applyFont="1" applyAlignment="1">
      <alignment horizontal="center"/>
    </xf>
    <xf numFmtId="164" fontId="32" fillId="0" borderId="6" xfId="3" applyNumberFormat="1" applyFont="1" applyBorder="1" applyAlignment="1">
      <alignment horizontal="center"/>
    </xf>
    <xf numFmtId="3" fontId="33" fillId="0" borderId="6" xfId="0" applyNumberFormat="1" applyFont="1" applyBorder="1"/>
    <xf numFmtId="4" fontId="3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0" fontId="1" fillId="0" borderId="0" xfId="0" applyFont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3" fontId="34" fillId="0" borderId="2" xfId="0" applyNumberFormat="1" applyFont="1" applyBorder="1"/>
  </cellXfs>
  <cellStyles count="4">
    <cellStyle name="Lien hypertexte" xfId="1" builtinId="8"/>
    <cellStyle name="Normal" xfId="0" builtinId="0"/>
    <cellStyle name="Normal_G. Chaves" xfId="2"/>
    <cellStyle name="Pourcentage" xfId="3" builtinId="5"/>
  </cellStyles>
  <dxfs count="11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Evol!$C$7:$CN$7</c:f>
              <c:numCache>
                <c:formatCode>#,##0</c:formatCode>
                <c:ptCount val="72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Evol!$C$6:$CN$6</c:f>
              <c:numCache>
                <c:formatCode>#,##0</c:formatCode>
                <c:ptCount val="72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Evol!$C$5:$CN$5</c:f>
              <c:numCache>
                <c:formatCode>#,##0</c:formatCode>
                <c:ptCount val="72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Evol!$C$9:$CN$9</c:f>
              <c:numCache>
                <c:formatCode>#,##0</c:formatCode>
                <c:ptCount val="72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</c:numCache>
            </c:numRef>
          </c:val>
        </c:ser>
        <c:axId val="97113984"/>
        <c:axId val="97115520"/>
      </c:areaChart>
      <c:lineChart>
        <c:grouping val="standard"/>
        <c:ser>
          <c:idx val="0"/>
          <c:order val="1"/>
          <c:tx>
            <c:v>Inv Acciones</c:v>
          </c:tx>
          <c:marker>
            <c:symbol val="none"/>
          </c:marker>
          <c:val>
            <c:numRef>
              <c:f>Evol!$C$13:$CN$13</c:f>
              <c:numCache>
                <c:formatCode>#,##0</c:formatCode>
                <c:ptCount val="72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</c:numCache>
            </c:numRef>
          </c:val>
        </c:ser>
        <c:marker val="1"/>
        <c:axId val="97113984"/>
        <c:axId val="97115520"/>
      </c:lineChart>
      <c:catAx>
        <c:axId val="97113984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97115520"/>
        <c:crosses val="autoZero"/>
        <c:auto val="1"/>
        <c:lblAlgn val="ctr"/>
        <c:lblOffset val="100"/>
        <c:tickLblSkip val="3"/>
        <c:tickMarkSkip val="1"/>
      </c:catAx>
      <c:valAx>
        <c:axId val="97115520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97113984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1" r="0.750000000000001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691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212"/>
          <c:y val="0.16591928251121135"/>
          <c:w val="0.83076923076923082"/>
          <c:h val="0.71748878923766646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</c:numCache>
            </c:numRef>
          </c:yVal>
          <c:smooth val="1"/>
        </c:ser>
        <c:axId val="100119680"/>
        <c:axId val="100121216"/>
      </c:scatterChart>
      <c:valAx>
        <c:axId val="100119680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0121216"/>
        <c:crosses val="autoZero"/>
        <c:crossBetween val="midCat"/>
      </c:valAx>
      <c:valAx>
        <c:axId val="100121216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0119680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157"/>
          <c:y val="0.93464166754940581"/>
          <c:w val="0.28341691903896704"/>
          <c:h val="5.2287701705448386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" footer="0"/>
    <c:pageSetup paperSize="9" orientation="landscape" horizontalDpi="-3" verticalDpi="0"/>
  </c:printSettings>
</c:chartSpace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195</xdr:row>
      <xdr:rowOff>57150</xdr:rowOff>
    </xdr:from>
    <xdr:to>
      <xdr:col>11</xdr:col>
      <xdr:colOff>342900</xdr:colOff>
      <xdr:row>197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198</xdr:row>
      <xdr:rowOff>104775</xdr:rowOff>
    </xdr:from>
    <xdr:to>
      <xdr:col>9</xdr:col>
      <xdr:colOff>381000</xdr:colOff>
      <xdr:row>198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78</xdr:row>
      <xdr:rowOff>0</xdr:rowOff>
    </xdr:from>
    <xdr:to>
      <xdr:col>3</xdr:col>
      <xdr:colOff>95250</xdr:colOff>
      <xdr:row>79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78</xdr:row>
      <xdr:rowOff>0</xdr:rowOff>
    </xdr:from>
    <xdr:to>
      <xdr:col>3</xdr:col>
      <xdr:colOff>762000</xdr:colOff>
      <xdr:row>79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4</xdr:col>
      <xdr:colOff>123825</xdr:colOff>
      <xdr:row>79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78</xdr:row>
      <xdr:rowOff>0</xdr:rowOff>
    </xdr:from>
    <xdr:to>
      <xdr:col>6</xdr:col>
      <xdr:colOff>333375</xdr:colOff>
      <xdr:row>79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78</xdr:row>
      <xdr:rowOff>0</xdr:rowOff>
    </xdr:from>
    <xdr:to>
      <xdr:col>6</xdr:col>
      <xdr:colOff>714375</xdr:colOff>
      <xdr:row>79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78</xdr:row>
      <xdr:rowOff>0</xdr:rowOff>
    </xdr:from>
    <xdr:to>
      <xdr:col>7</xdr:col>
      <xdr:colOff>57150</xdr:colOff>
      <xdr:row>79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N73"/>
  <sheetViews>
    <sheetView showGridLines="0" topLeftCell="A39" zoomScale="80" zoomScaleNormal="80" zoomScaleSheetLayoutView="100" workbookViewId="0">
      <selection activeCell="C73" sqref="C73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2:14" ht="18.75">
      <c r="B1" s="91" t="s">
        <v>98</v>
      </c>
      <c r="C1" s="91"/>
      <c r="D1" s="91"/>
      <c r="E1" s="91"/>
      <c r="F1" s="91"/>
    </row>
    <row r="2" spans="2:14">
      <c r="B2" s="582">
        <v>40369</v>
      </c>
      <c r="C2" s="130"/>
      <c r="D2" s="130"/>
      <c r="E2" s="130"/>
      <c r="F2" s="130"/>
      <c r="G2" s="278"/>
      <c r="H2" s="278"/>
    </row>
    <row r="3" spans="2:14">
      <c r="G3" s="278"/>
      <c r="H3" s="278"/>
      <c r="K3" s="12" t="s">
        <v>568</v>
      </c>
    </row>
    <row r="4" spans="2:14">
      <c r="B4" s="25" t="s">
        <v>52</v>
      </c>
      <c r="C4" s="98"/>
      <c r="D4" s="25" t="s">
        <v>53</v>
      </c>
      <c r="E4" s="98"/>
      <c r="G4" s="278"/>
      <c r="H4" s="278"/>
      <c r="K4" s="25" t="s">
        <v>52</v>
      </c>
      <c r="L4" s="98"/>
      <c r="M4" s="25" t="s">
        <v>53</v>
      </c>
      <c r="N4" s="98"/>
    </row>
    <row r="5" spans="2:14">
      <c r="B5" s="92" t="s">
        <v>433</v>
      </c>
      <c r="C5" s="93">
        <f>SUM(C6:C19)</f>
        <v>815568.28132016736</v>
      </c>
      <c r="D5" s="92" t="s">
        <v>193</v>
      </c>
      <c r="E5" s="93">
        <f>SUM(E6:E19)</f>
        <v>182708.93536554399</v>
      </c>
      <c r="G5" s="278"/>
      <c r="H5" s="278"/>
      <c r="K5" s="92" t="s">
        <v>433</v>
      </c>
      <c r="L5" s="93">
        <f>SUM(L6:L19)</f>
        <v>296642.67999999993</v>
      </c>
      <c r="M5" s="92" t="s">
        <v>193</v>
      </c>
      <c r="N5" s="93">
        <f>SUM(N6:N19)</f>
        <v>-2000</v>
      </c>
    </row>
    <row r="6" spans="2:14">
      <c r="B6" s="99" t="s">
        <v>606</v>
      </c>
      <c r="C6" s="6">
        <f>+Acc!K32+Acc!K34</f>
        <v>272991.25</v>
      </c>
      <c r="D6" s="99"/>
      <c r="E6" s="94"/>
      <c r="K6" s="99" t="s">
        <v>30</v>
      </c>
      <c r="L6" s="6">
        <f>+C6-'Patr. (N-1)'!C6</f>
        <v>-1482.5700000000652</v>
      </c>
      <c r="M6" s="99"/>
      <c r="N6" s="94"/>
    </row>
    <row r="7" spans="2:14">
      <c r="B7" s="99" t="s">
        <v>607</v>
      </c>
      <c r="C7" s="12">
        <f>+Acc!K33</f>
        <v>82144.75</v>
      </c>
      <c r="D7" s="99" t="s">
        <v>313</v>
      </c>
      <c r="E7" s="6">
        <f>+'Imp08'!D44</f>
        <v>-0.32400000000006912</v>
      </c>
      <c r="G7" s="12" t="s">
        <v>195</v>
      </c>
      <c r="K7" s="99" t="s">
        <v>607</v>
      </c>
      <c r="L7" s="6">
        <f>+C7-'Patr. (N-1)'!C7</f>
        <v>48125.25</v>
      </c>
      <c r="M7" s="99" t="s">
        <v>313</v>
      </c>
      <c r="N7" s="6">
        <f>+E7-'Patr. (N-1)'!E7</f>
        <v>0</v>
      </c>
    </row>
    <row r="8" spans="2:14">
      <c r="B8" s="99" t="s">
        <v>209</v>
      </c>
      <c r="C8" s="312">
        <f>+Otros!C26</f>
        <v>30000</v>
      </c>
      <c r="D8" s="414" t="s">
        <v>424</v>
      </c>
      <c r="E8" s="445">
        <f>+'Imp09'!D62</f>
        <v>12119.12172000001</v>
      </c>
      <c r="G8" s="264" t="s">
        <v>76</v>
      </c>
      <c r="H8" s="97">
        <f>+C25+C26+C27+C28+C31+C29+C30+C32+C33</f>
        <v>396120</v>
      </c>
      <c r="K8" s="99" t="s">
        <v>209</v>
      </c>
      <c r="L8" s="6">
        <f>+C8-'Patr. (N-1)'!C8</f>
        <v>0</v>
      </c>
      <c r="M8" s="414" t="s">
        <v>424</v>
      </c>
      <c r="N8" s="6">
        <f>+E8-'Patr. (N-1)'!E8</f>
        <v>0</v>
      </c>
    </row>
    <row r="9" spans="2:14">
      <c r="B9" s="110" t="s">
        <v>686</v>
      </c>
      <c r="C9" s="667">
        <v>250000</v>
      </c>
      <c r="D9" s="414" t="s">
        <v>603</v>
      </c>
      <c r="E9" s="445">
        <f>+'Imp10'!D62</f>
        <v>137128.63764554399</v>
      </c>
      <c r="G9" s="265" t="s">
        <v>242</v>
      </c>
      <c r="H9" s="6">
        <f>+C21-E21+C22</f>
        <v>185750</v>
      </c>
      <c r="K9" s="110" t="s">
        <v>239</v>
      </c>
      <c r="L9" s="6">
        <f>+C9-'Patr. (N-1)'!C9</f>
        <v>250000</v>
      </c>
      <c r="M9" s="414" t="s">
        <v>603</v>
      </c>
      <c r="N9" s="6">
        <f>+E9-'Patr. (N-1)'!E9</f>
        <v>0</v>
      </c>
    </row>
    <row r="10" spans="2:14">
      <c r="B10" s="110" t="s">
        <v>278</v>
      </c>
      <c r="C10" s="6">
        <f>+Otros!G96</f>
        <v>28469</v>
      </c>
      <c r="D10" s="99" t="s">
        <v>283</v>
      </c>
      <c r="E10" s="6">
        <f>+C10</f>
        <v>28469</v>
      </c>
      <c r="G10" s="265" t="s">
        <v>137</v>
      </c>
      <c r="H10" s="6">
        <f>+C6+C7</f>
        <v>355136</v>
      </c>
      <c r="K10" s="110" t="s">
        <v>278</v>
      </c>
      <c r="L10" s="6">
        <f>+C10-'Patr. (N-1)'!C10</f>
        <v>0</v>
      </c>
      <c r="M10" s="99" t="s">
        <v>283</v>
      </c>
      <c r="N10" s="6">
        <f>+E10-'Patr. (N-1)'!E10</f>
        <v>0</v>
      </c>
    </row>
    <row r="11" spans="2:14">
      <c r="B11" s="110" t="s">
        <v>308</v>
      </c>
      <c r="C11" s="6">
        <f>+Otros!G95</f>
        <v>0</v>
      </c>
      <c r="D11" s="99" t="s">
        <v>376</v>
      </c>
      <c r="E11" s="6">
        <f>+Mama!E38</f>
        <v>4992.5</v>
      </c>
      <c r="G11" s="265" t="s">
        <v>172</v>
      </c>
      <c r="H11" s="6">
        <f>+C13+C11</f>
        <v>5982.5806451612898</v>
      </c>
      <c r="K11" s="110" t="s">
        <v>308</v>
      </c>
      <c r="L11" s="6">
        <f>+C11-'Patr. (N-1)'!C11</f>
        <v>0</v>
      </c>
      <c r="M11" s="99" t="s">
        <v>376</v>
      </c>
      <c r="N11" s="6">
        <f>+E11-'Patr. (N-1)'!E11</f>
        <v>-2000</v>
      </c>
    </row>
    <row r="12" spans="2:14">
      <c r="B12" s="110" t="s">
        <v>309</v>
      </c>
      <c r="C12" s="6">
        <f>+Otros!G97</f>
        <v>0</v>
      </c>
      <c r="D12" s="4"/>
      <c r="E12" s="6"/>
      <c r="G12" s="266" t="s">
        <v>78</v>
      </c>
      <c r="H12" s="11">
        <f>+E37-H11-H10-H9-H8</f>
        <v>263816.76530946209</v>
      </c>
      <c r="K12" s="110" t="s">
        <v>309</v>
      </c>
      <c r="L12" s="6">
        <f>+C12-'Patr. (N-1)'!C12</f>
        <v>0</v>
      </c>
      <c r="M12" s="4"/>
      <c r="N12" s="6">
        <f>+E12-'Patr. (N-1)'!E12</f>
        <v>0</v>
      </c>
    </row>
    <row r="13" spans="2:14" ht="12.6" customHeight="1">
      <c r="B13" s="110" t="s">
        <v>310</v>
      </c>
      <c r="C13" s="6">
        <f>+Otros!H12</f>
        <v>5982.5806451612898</v>
      </c>
      <c r="D13" s="4"/>
      <c r="E13" s="6"/>
      <c r="G13" s="96" t="s">
        <v>18</v>
      </c>
      <c r="H13" s="96">
        <f>SUM(H8:H12)</f>
        <v>1206805.3459546235</v>
      </c>
      <c r="K13" s="110" t="s">
        <v>310</v>
      </c>
      <c r="L13" s="6">
        <f>+C13-'Patr. (N-1)'!C13</f>
        <v>0</v>
      </c>
      <c r="M13" s="4"/>
      <c r="N13" s="6">
        <f>+E13-'Patr. (N-1)'!E13</f>
        <v>0</v>
      </c>
    </row>
    <row r="14" spans="2:14" ht="12.6" customHeight="1">
      <c r="B14" s="110" t="s">
        <v>311</v>
      </c>
      <c r="C14" s="94">
        <v>6000</v>
      </c>
      <c r="D14" s="99"/>
      <c r="E14" s="6"/>
      <c r="G14" s="5"/>
      <c r="H14" s="5"/>
      <c r="K14" s="110" t="s">
        <v>311</v>
      </c>
      <c r="L14" s="6">
        <f>+C14-'Patr. (N-1)'!C14</f>
        <v>0</v>
      </c>
      <c r="M14" s="99"/>
      <c r="N14" s="6">
        <f>+E14-'Patr. (N-1)'!E14</f>
        <v>0</v>
      </c>
    </row>
    <row r="15" spans="2:14" ht="12.6" customHeight="1">
      <c r="B15" s="110" t="s">
        <v>312</v>
      </c>
      <c r="C15" s="6">
        <f>+E.Salariale!H86</f>
        <v>25980.700675006003</v>
      </c>
      <c r="D15" s="99"/>
      <c r="E15" s="6"/>
      <c r="G15" s="5"/>
      <c r="H15" s="5"/>
      <c r="K15" s="110" t="s">
        <v>312</v>
      </c>
      <c r="L15" s="6">
        <f>+C15-'Patr. (N-1)'!C15</f>
        <v>0</v>
      </c>
      <c r="M15" s="99"/>
      <c r="N15" s="6">
        <f>+E15-'Patr. (N-1)'!E15</f>
        <v>0</v>
      </c>
    </row>
    <row r="16" spans="2:14" ht="12.6" customHeight="1">
      <c r="B16" s="110" t="s">
        <v>405</v>
      </c>
      <c r="C16" s="6">
        <f>+Otros!G116</f>
        <v>30000</v>
      </c>
      <c r="D16" s="99"/>
      <c r="E16" s="6"/>
      <c r="G16" s="5"/>
      <c r="H16" s="5"/>
      <c r="K16" s="110" t="s">
        <v>405</v>
      </c>
      <c r="L16" s="6">
        <f>+C16-'Patr. (N-1)'!C16</f>
        <v>0</v>
      </c>
      <c r="M16" s="99"/>
      <c r="N16" s="6">
        <f>+E16-'Patr. (N-1)'!E16</f>
        <v>0</v>
      </c>
    </row>
    <row r="17" spans="2:14" ht="12.6" customHeight="1">
      <c r="B17" s="110" t="s">
        <v>546</v>
      </c>
      <c r="C17" s="6">
        <f>+Otros!G134</f>
        <v>34000</v>
      </c>
      <c r="D17" s="99"/>
      <c r="E17" s="6"/>
      <c r="G17" s="5"/>
      <c r="H17" s="5"/>
      <c r="K17" s="110" t="s">
        <v>546</v>
      </c>
      <c r="L17" s="6">
        <f>+C17-'Patr. (N-1)'!C17</f>
        <v>0</v>
      </c>
      <c r="M17" s="99"/>
      <c r="N17" s="6">
        <f>+E17-'Patr. (N-1)'!E17</f>
        <v>0</v>
      </c>
    </row>
    <row r="18" spans="2:14" ht="12.6" customHeight="1">
      <c r="B18" s="110" t="s">
        <v>461</v>
      </c>
      <c r="C18" s="6">
        <f>Otros!C124</f>
        <v>50000</v>
      </c>
      <c r="D18" s="99"/>
      <c r="E18" s="6"/>
      <c r="G18" s="5"/>
      <c r="H18" s="5"/>
      <c r="K18" s="110" t="s">
        <v>461</v>
      </c>
      <c r="L18" s="6">
        <f>+C18-'Patr. (N-1)'!C18</f>
        <v>0</v>
      </c>
      <c r="M18" s="99"/>
      <c r="N18" s="6">
        <f>+E18-'Patr. (N-1)'!E18</f>
        <v>0</v>
      </c>
    </row>
    <row r="19" spans="2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2:14">
      <c r="B20" s="268" t="s">
        <v>55</v>
      </c>
      <c r="C20" s="269">
        <f>C21+C22</f>
        <v>317250</v>
      </c>
      <c r="D20" s="92"/>
      <c r="E20" s="95"/>
      <c r="G20" s="5"/>
      <c r="H20" s="5"/>
      <c r="K20" s="268" t="s">
        <v>55</v>
      </c>
      <c r="L20" s="269">
        <f>L21+L22</f>
        <v>0</v>
      </c>
      <c r="M20" s="92"/>
      <c r="N20" s="95"/>
    </row>
    <row r="21" spans="2:14">
      <c r="B21" s="99" t="s">
        <v>432</v>
      </c>
      <c r="C21" s="94">
        <v>261000</v>
      </c>
      <c r="D21" s="99" t="s">
        <v>57</v>
      </c>
      <c r="E21" s="94">
        <v>131500</v>
      </c>
      <c r="G21" s="5"/>
      <c r="H21" s="5"/>
      <c r="K21" s="99" t="s">
        <v>432</v>
      </c>
      <c r="L21" s="6">
        <f>+C21-'Patr. (N-1)'!C21</f>
        <v>0</v>
      </c>
      <c r="M21" s="99" t="s">
        <v>57</v>
      </c>
      <c r="N21" s="6">
        <f>+E21-'Patr. (N-1)'!E21</f>
        <v>-1500</v>
      </c>
    </row>
    <row r="22" spans="2:14">
      <c r="B22" s="99" t="s">
        <v>340</v>
      </c>
      <c r="C22" s="94">
        <v>56250</v>
      </c>
      <c r="D22" s="99"/>
      <c r="E22" s="94"/>
      <c r="G22" s="5"/>
      <c r="H22" s="5"/>
      <c r="K22" s="99" t="s">
        <v>340</v>
      </c>
      <c r="L22" s="6">
        <f>+C22-'Patr. (N-1)'!C22</f>
        <v>0</v>
      </c>
      <c r="M22" s="99"/>
      <c r="N22" s="94"/>
    </row>
    <row r="23" spans="2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2:14">
      <c r="B24" s="92" t="s">
        <v>183</v>
      </c>
      <c r="C24" s="95">
        <f>SUM(C25:C35)</f>
        <v>396120</v>
      </c>
      <c r="D24" s="92" t="s">
        <v>194</v>
      </c>
      <c r="E24" s="95">
        <f>SUM(E25:E35)</f>
        <v>7924</v>
      </c>
      <c r="G24" s="5"/>
      <c r="H24" s="5"/>
      <c r="K24" s="92" t="s">
        <v>183</v>
      </c>
      <c r="L24" s="95">
        <f>SUM(L25:L35)</f>
        <v>-345904</v>
      </c>
      <c r="M24" s="92" t="s">
        <v>194</v>
      </c>
      <c r="N24" s="95">
        <f>SUM(N25:N35)</f>
        <v>-35176</v>
      </c>
    </row>
    <row r="25" spans="2:14">
      <c r="B25" s="99" t="s">
        <v>54</v>
      </c>
      <c r="C25" s="94">
        <v>0</v>
      </c>
      <c r="D25" s="99"/>
      <c r="E25" s="6"/>
      <c r="G25" s="5"/>
      <c r="H25" s="5"/>
      <c r="K25" s="99" t="s">
        <v>54</v>
      </c>
      <c r="L25" s="6">
        <f>+C25-'Patr. (N-1)'!C25</f>
        <v>0</v>
      </c>
      <c r="M25" s="99"/>
      <c r="N25" s="6"/>
    </row>
    <row r="26" spans="2:14">
      <c r="B26" s="99" t="s">
        <v>58</v>
      </c>
      <c r="C26" s="94">
        <v>6600</v>
      </c>
      <c r="D26" s="99" t="s">
        <v>665</v>
      </c>
      <c r="E26" s="94">
        <v>0</v>
      </c>
      <c r="G26" s="5"/>
      <c r="H26" s="5"/>
      <c r="K26" s="99" t="s">
        <v>58</v>
      </c>
      <c r="L26" s="6">
        <f>+C26-'Patr. (N-1)'!C26</f>
        <v>400</v>
      </c>
      <c r="M26" s="99" t="s">
        <v>665</v>
      </c>
      <c r="N26" s="6">
        <f>+E26-'Patr. (N-1)'!E26</f>
        <v>-2000</v>
      </c>
    </row>
    <row r="27" spans="2:14">
      <c r="B27" s="99" t="s">
        <v>59</v>
      </c>
      <c r="C27" s="94">
        <v>1000</v>
      </c>
      <c r="D27" s="99" t="s">
        <v>372</v>
      </c>
      <c r="E27" s="94">
        <v>0</v>
      </c>
      <c r="G27" s="5"/>
      <c r="H27" s="5"/>
      <c r="K27" s="99" t="s">
        <v>59</v>
      </c>
      <c r="L27" s="6">
        <f>+C27-'Patr. (N-1)'!C27</f>
        <v>0</v>
      </c>
      <c r="M27" s="99" t="s">
        <v>372</v>
      </c>
      <c r="N27" s="6">
        <f>+E27-'Patr. (N-1)'!E27</f>
        <v>0</v>
      </c>
    </row>
    <row r="28" spans="2:14">
      <c r="B28" s="99" t="s">
        <v>60</v>
      </c>
      <c r="C28" s="94">
        <v>0</v>
      </c>
      <c r="D28" s="99" t="s">
        <v>464</v>
      </c>
      <c r="E28" s="277">
        <v>0</v>
      </c>
      <c r="G28" s="5"/>
      <c r="K28" s="99" t="s">
        <v>60</v>
      </c>
      <c r="L28" s="6">
        <f>+C28-'Patr. (N-1)'!C28</f>
        <v>0</v>
      </c>
      <c r="M28" s="99" t="s">
        <v>464</v>
      </c>
      <c r="N28" s="6">
        <f>+E28-'Patr. (N-1)'!E28</f>
        <v>0</v>
      </c>
    </row>
    <row r="29" spans="2:14">
      <c r="B29" s="99" t="s">
        <v>634</v>
      </c>
      <c r="C29" s="6">
        <f>+'Banque Pop'!H21</f>
        <v>2600</v>
      </c>
      <c r="D29" s="99" t="s">
        <v>614</v>
      </c>
      <c r="E29" s="94">
        <v>0</v>
      </c>
      <c r="G29" s="5"/>
      <c r="K29" s="99" t="s">
        <v>634</v>
      </c>
      <c r="L29" s="6">
        <f>+C29-'Patr. (N-1)'!C29</f>
        <v>-26100</v>
      </c>
      <c r="M29" s="99" t="s">
        <v>614</v>
      </c>
      <c r="N29" s="6">
        <f>+E29-'Patr. (N-1)'!E29</f>
        <v>0</v>
      </c>
    </row>
    <row r="30" spans="2:14">
      <c r="B30" s="99" t="s">
        <v>632</v>
      </c>
      <c r="C30" s="6">
        <f>+'Banque Pop'!H22</f>
        <v>139700</v>
      </c>
      <c r="D30" s="99" t="s">
        <v>197</v>
      </c>
      <c r="E30" s="94">
        <v>500</v>
      </c>
      <c r="G30" s="5"/>
      <c r="K30" s="99" t="s">
        <v>632</v>
      </c>
      <c r="L30" s="6">
        <f>+C30-'Patr. (N-1)'!C30</f>
        <v>0</v>
      </c>
      <c r="M30" s="99" t="s">
        <v>197</v>
      </c>
      <c r="N30" s="6">
        <f>+E30-'Patr. (N-1)'!E30</f>
        <v>0</v>
      </c>
    </row>
    <row r="31" spans="2:14">
      <c r="B31" s="99" t="s">
        <v>327</v>
      </c>
      <c r="C31" s="6">
        <f>+'Banque Pop'!H23</f>
        <v>95000</v>
      </c>
      <c r="D31" s="99" t="s">
        <v>289</v>
      </c>
      <c r="E31" s="94">
        <v>600</v>
      </c>
      <c r="K31" s="99" t="s">
        <v>327</v>
      </c>
      <c r="L31" s="6">
        <f>+C31-'Patr. (N-1)'!C31</f>
        <v>0</v>
      </c>
      <c r="M31" s="99" t="s">
        <v>289</v>
      </c>
      <c r="N31" s="6">
        <f>+E31-'Patr. (N-1)'!E31</f>
        <v>0</v>
      </c>
    </row>
    <row r="32" spans="2:14">
      <c r="B32" s="99" t="s">
        <v>633</v>
      </c>
      <c r="C32" s="6">
        <f>+'Banque Pop'!H24</f>
        <v>150000</v>
      </c>
      <c r="D32" s="99" t="s">
        <v>158</v>
      </c>
      <c r="E32" s="94">
        <v>1000</v>
      </c>
      <c r="K32" s="99" t="s">
        <v>633</v>
      </c>
      <c r="L32" s="6">
        <f>+C32-'Patr. (N-1)'!C32</f>
        <v>-320000</v>
      </c>
      <c r="M32" s="99" t="s">
        <v>158</v>
      </c>
      <c r="N32" s="6">
        <f>+E32-'Patr. (N-1)'!E32</f>
        <v>0</v>
      </c>
    </row>
    <row r="33" spans="2:14">
      <c r="B33" s="110" t="s">
        <v>635</v>
      </c>
      <c r="C33" s="6">
        <f>+'Banque Pop'!H25</f>
        <v>1220</v>
      </c>
      <c r="D33" s="99" t="s">
        <v>641</v>
      </c>
      <c r="E33" s="94">
        <v>0</v>
      </c>
      <c r="K33" s="110" t="s">
        <v>635</v>
      </c>
      <c r="L33" s="6">
        <f>+C33-'Patr. (N-1)'!C33</f>
        <v>-204</v>
      </c>
      <c r="M33" s="99" t="s">
        <v>641</v>
      </c>
      <c r="N33" s="6">
        <f>+E33-'Patr. (N-1)'!E33</f>
        <v>-25000</v>
      </c>
    </row>
    <row r="34" spans="2:14">
      <c r="B34" s="110"/>
      <c r="C34" s="94"/>
      <c r="D34" s="99" t="s">
        <v>642</v>
      </c>
      <c r="E34" s="94">
        <f>14000-7176-1000</f>
        <v>5824</v>
      </c>
      <c r="K34" s="110"/>
      <c r="L34" s="94"/>
      <c r="M34" s="99" t="s">
        <v>642</v>
      </c>
      <c r="N34" s="6">
        <f>+E34-'Patr. (N-1)'!E34</f>
        <v>-8176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1528938.2813201672</v>
      </c>
      <c r="D36" s="101" t="s">
        <v>18</v>
      </c>
      <c r="E36" s="13">
        <f>+E24+E21+E5</f>
        <v>322132.93536554399</v>
      </c>
      <c r="K36" s="101" t="s">
        <v>18</v>
      </c>
      <c r="L36" s="13">
        <f>+L24+L20+L5</f>
        <v>-49261.320000000065</v>
      </c>
      <c r="M36" s="101" t="s">
        <v>18</v>
      </c>
      <c r="N36" s="13">
        <f>+N24+N21+N5</f>
        <v>-38676</v>
      </c>
    </row>
    <row r="37" spans="2:14">
      <c r="B37" s="102"/>
      <c r="D37" s="197" t="s">
        <v>184</v>
      </c>
      <c r="E37" s="246">
        <f>+C36-E36</f>
        <v>1206805.3459546233</v>
      </c>
      <c r="K37" s="102"/>
      <c r="M37" s="197" t="s">
        <v>184</v>
      </c>
      <c r="N37" s="246">
        <f>+L36-N36</f>
        <v>-10585.320000000065</v>
      </c>
    </row>
    <row r="38" spans="2:14">
      <c r="B38" s="102"/>
      <c r="D38" s="197" t="s">
        <v>431</v>
      </c>
      <c r="E38" s="246">
        <f>+E37-C22-C15+E10+E11</f>
        <v>1158036.1452796173</v>
      </c>
      <c r="F38" s="212" t="s">
        <v>602</v>
      </c>
      <c r="K38" s="102"/>
      <c r="M38" s="197" t="s">
        <v>431</v>
      </c>
      <c r="N38" s="246">
        <f>+N37-L22-L15</f>
        <v>-10585.320000000065</v>
      </c>
    </row>
    <row r="40" spans="2:14">
      <c r="B40" s="92" t="s">
        <v>61</v>
      </c>
      <c r="C40" s="60"/>
      <c r="D40" s="60"/>
      <c r="E40" s="60"/>
      <c r="F40" s="97"/>
    </row>
    <row r="41" spans="2:14">
      <c r="B41" s="576"/>
      <c r="C41" s="5"/>
      <c r="D41" s="5"/>
      <c r="E41" s="5"/>
      <c r="F41" s="6"/>
    </row>
    <row r="42" spans="2:14">
      <c r="B42" s="576" t="s">
        <v>62</v>
      </c>
      <c r="C42" s="5"/>
      <c r="D42" s="5"/>
      <c r="E42" s="5"/>
      <c r="F42" s="6"/>
    </row>
    <row r="43" spans="2:14">
      <c r="B43" s="576" t="s">
        <v>429</v>
      </c>
      <c r="C43" s="5">
        <v>81137</v>
      </c>
      <c r="D43" s="446"/>
      <c r="E43" s="5"/>
      <c r="F43" s="6"/>
    </row>
    <row r="44" spans="2:14">
      <c r="B44" s="576" t="s">
        <v>663</v>
      </c>
      <c r="C44" s="5"/>
      <c r="D44" s="5" t="s">
        <v>664</v>
      </c>
      <c r="E44" s="5"/>
      <c r="F44" s="6"/>
    </row>
    <row r="45" spans="2:14">
      <c r="B45" s="92" t="s">
        <v>427</v>
      </c>
      <c r="C45" s="60"/>
      <c r="D45" s="60"/>
      <c r="E45" s="60"/>
      <c r="F45" s="97"/>
    </row>
    <row r="46" spans="2:14">
      <c r="B46" s="410" t="s">
        <v>619</v>
      </c>
      <c r="C46" s="10">
        <v>200000</v>
      </c>
      <c r="D46" s="10" t="s">
        <v>430</v>
      </c>
      <c r="E46" s="10"/>
      <c r="F46" s="11"/>
    </row>
    <row r="47" spans="2:14">
      <c r="B47" s="92" t="s">
        <v>428</v>
      </c>
      <c r="C47" s="60"/>
      <c r="D47" s="60"/>
      <c r="E47" s="60"/>
      <c r="F47" s="97"/>
    </row>
    <row r="48" spans="2:14">
      <c r="B48" s="99" t="s">
        <v>570</v>
      </c>
      <c r="C48" s="5">
        <f>+retraite!D13</f>
        <v>17669.490000000002</v>
      </c>
      <c r="D48" s="5" t="s">
        <v>594</v>
      </c>
      <c r="E48" s="5"/>
      <c r="F48" s="6"/>
    </row>
    <row r="49" spans="2:6">
      <c r="B49" s="99" t="s">
        <v>592</v>
      </c>
      <c r="C49" s="5">
        <f>+retraite!D24</f>
        <v>45248.74</v>
      </c>
      <c r="D49" s="5" t="s">
        <v>594</v>
      </c>
      <c r="E49" s="5"/>
      <c r="F49" s="6"/>
    </row>
    <row r="50" spans="2:6">
      <c r="B50" s="99" t="s">
        <v>593</v>
      </c>
      <c r="C50" s="5">
        <f>+E.Salariale!H119</f>
        <v>21966.560000000001</v>
      </c>
      <c r="D50" s="5" t="s">
        <v>595</v>
      </c>
      <c r="E50" s="5"/>
      <c r="F50" s="6"/>
    </row>
    <row r="51" spans="2:6">
      <c r="B51" s="99" t="s">
        <v>615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307</v>
      </c>
      <c r="F54" s="395">
        <f>+C5+C24-E36-C16-C14-C17-C7</f>
        <v>737410.59595462331</v>
      </c>
    </row>
    <row r="56" spans="2:6">
      <c r="B56" s="12" t="s">
        <v>611</v>
      </c>
      <c r="C56" s="353">
        <v>2820</v>
      </c>
    </row>
    <row r="57" spans="2:6">
      <c r="B57" s="603" t="s">
        <v>613</v>
      </c>
      <c r="C57" s="354">
        <v>-200</v>
      </c>
    </row>
    <row r="58" spans="2:6">
      <c r="B58" s="603" t="s">
        <v>444</v>
      </c>
      <c r="C58" s="354">
        <v>-200</v>
      </c>
    </row>
    <row r="59" spans="2:6">
      <c r="B59" s="603"/>
      <c r="C59" s="354">
        <v>-600</v>
      </c>
      <c r="D59" s="12" t="s">
        <v>685</v>
      </c>
    </row>
    <row r="60" spans="2:6">
      <c r="B60" s="603"/>
      <c r="C60" s="354"/>
    </row>
    <row r="61" spans="2:6">
      <c r="B61" s="603"/>
      <c r="C61" s="354"/>
    </row>
    <row r="62" spans="2:6">
      <c r="B62" s="603"/>
      <c r="C62" s="354"/>
    </row>
    <row r="63" spans="2:6">
      <c r="B63" s="603"/>
      <c r="C63" s="354"/>
    </row>
    <row r="64" spans="2:6">
      <c r="B64" s="603"/>
      <c r="C64" s="354"/>
    </row>
    <row r="65" spans="2:3">
      <c r="B65" s="603"/>
      <c r="C65" s="354"/>
    </row>
    <row r="66" spans="2:3">
      <c r="B66" s="603"/>
      <c r="C66" s="354"/>
    </row>
    <row r="67" spans="2:3">
      <c r="B67" s="603"/>
      <c r="C67" s="354"/>
    </row>
    <row r="68" spans="2:3">
      <c r="B68" s="603"/>
      <c r="C68" s="354"/>
    </row>
    <row r="69" spans="2:3">
      <c r="B69" s="603"/>
      <c r="C69" s="354"/>
    </row>
    <row r="70" spans="2:3">
      <c r="B70" s="603"/>
      <c r="C70" s="354"/>
    </row>
    <row r="71" spans="2:3">
      <c r="B71" s="603"/>
      <c r="C71" s="354"/>
    </row>
    <row r="72" spans="2:3">
      <c r="B72" s="603"/>
      <c r="C72" s="289"/>
    </row>
    <row r="73" spans="2:3">
      <c r="B73" s="12" t="s">
        <v>612</v>
      </c>
      <c r="C73" s="12">
        <f>SUM(C56:C72)</f>
        <v>1820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M123"/>
  <sheetViews>
    <sheetView topLeftCell="A105" workbookViewId="0">
      <selection activeCell="F122" sqref="F122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326</v>
      </c>
    </row>
    <row r="4" spans="1:5">
      <c r="C4" t="s">
        <v>328</v>
      </c>
    </row>
    <row r="6" spans="1:5">
      <c r="A6" s="399">
        <v>39670</v>
      </c>
    </row>
    <row r="7" spans="1:5">
      <c r="B7" s="400">
        <f>-12.5*4500</f>
        <v>-56250</v>
      </c>
      <c r="C7" s="133" t="s">
        <v>329</v>
      </c>
      <c r="D7" s="133"/>
      <c r="E7" s="134"/>
    </row>
    <row r="8" spans="1:5">
      <c r="B8" s="401">
        <v>3000</v>
      </c>
      <c r="C8" s="402" t="s">
        <v>330</v>
      </c>
      <c r="D8" s="402"/>
      <c r="E8" s="138"/>
    </row>
    <row r="9" spans="1:5">
      <c r="B9" s="401">
        <f>3000*3</f>
        <v>9000</v>
      </c>
      <c r="C9" s="402" t="s">
        <v>331</v>
      </c>
      <c r="D9" s="402"/>
      <c r="E9" s="138"/>
    </row>
    <row r="10" spans="1:5">
      <c r="B10" s="401">
        <v>2200</v>
      </c>
      <c r="C10" s="402" t="s">
        <v>332</v>
      </c>
      <c r="D10" s="402"/>
      <c r="E10" s="138"/>
    </row>
    <row r="11" spans="1:5">
      <c r="B11" s="403">
        <f>SUM(B7:B10)</f>
        <v>-42050</v>
      </c>
      <c r="C11" s="404" t="s">
        <v>333</v>
      </c>
      <c r="D11" s="404"/>
      <c r="E11" s="152"/>
    </row>
    <row r="12" spans="1:5">
      <c r="B12" s="406">
        <v>6000</v>
      </c>
      <c r="C12" s="407" t="s">
        <v>334</v>
      </c>
      <c r="D12" s="133"/>
      <c r="E12" s="134"/>
    </row>
    <row r="13" spans="1:5">
      <c r="B13" s="408">
        <v>7500</v>
      </c>
      <c r="C13" s="405" t="s">
        <v>335</v>
      </c>
      <c r="D13" s="402"/>
      <c r="E13" s="138"/>
    </row>
    <row r="14" spans="1:5">
      <c r="B14" s="408">
        <v>13440</v>
      </c>
      <c r="C14" s="405" t="s">
        <v>336</v>
      </c>
      <c r="D14" s="402"/>
      <c r="E14" s="138"/>
    </row>
    <row r="15" spans="1:5">
      <c r="B15" s="403">
        <f>SUM(B12:B14)</f>
        <v>26940</v>
      </c>
      <c r="C15" s="409" t="s">
        <v>337</v>
      </c>
      <c r="D15" s="404"/>
      <c r="E15" s="152"/>
    </row>
    <row r="16" spans="1:5">
      <c r="B16" s="128">
        <v>-6000</v>
      </c>
      <c r="C16" s="405" t="s">
        <v>339</v>
      </c>
    </row>
    <row r="17" spans="1:6">
      <c r="B17" s="128">
        <f>7000</f>
        <v>7000</v>
      </c>
      <c r="C17" s="405" t="s">
        <v>338</v>
      </c>
    </row>
    <row r="19" spans="1:6">
      <c r="A19" s="399">
        <v>39701</v>
      </c>
    </row>
    <row r="20" spans="1:6">
      <c r="B20" s="128">
        <v>-32282</v>
      </c>
      <c r="C20" t="s">
        <v>358</v>
      </c>
      <c r="F20" s="128"/>
    </row>
    <row r="21" spans="1:6">
      <c r="C21" t="s">
        <v>359</v>
      </c>
      <c r="F21" s="128"/>
    </row>
    <row r="22" spans="1:6">
      <c r="B22" s="128">
        <v>3000</v>
      </c>
      <c r="C22" s="405" t="s">
        <v>338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362</v>
      </c>
      <c r="F26" s="128"/>
    </row>
    <row r="27" spans="1:6">
      <c r="C27" t="s">
        <v>361</v>
      </c>
      <c r="F27" s="128"/>
    </row>
    <row r="28" spans="1:6">
      <c r="B28" s="128">
        <v>-8000</v>
      </c>
      <c r="C28" t="s">
        <v>363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366</v>
      </c>
      <c r="F32" s="128"/>
    </row>
    <row r="33" spans="1:7">
      <c r="B33" s="128">
        <v>1000</v>
      </c>
      <c r="C33" t="s">
        <v>367</v>
      </c>
      <c r="F33" s="128"/>
    </row>
    <row r="34" spans="1:7">
      <c r="C34" t="s">
        <v>368</v>
      </c>
      <c r="F34" s="128"/>
    </row>
    <row r="35" spans="1:7">
      <c r="C35" t="s">
        <v>369</v>
      </c>
      <c r="F35" s="128"/>
    </row>
    <row r="36" spans="1:7">
      <c r="C36" t="s">
        <v>370</v>
      </c>
      <c r="F36" s="128">
        <v>110000</v>
      </c>
    </row>
    <row r="37" spans="1:7">
      <c r="B37" s="128">
        <v>10000</v>
      </c>
      <c r="C37" t="s">
        <v>371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381</v>
      </c>
    </row>
    <row r="40" spans="1:7">
      <c r="B40" s="128">
        <v>-3000</v>
      </c>
      <c r="C40" t="s">
        <v>382</v>
      </c>
    </row>
    <row r="43" spans="1:7">
      <c r="A43" s="399">
        <v>39823</v>
      </c>
    </row>
    <row r="44" spans="1:7">
      <c r="B44" s="128">
        <v>-31500</v>
      </c>
      <c r="C44" t="s">
        <v>385</v>
      </c>
      <c r="F44">
        <v>-1500</v>
      </c>
      <c r="G44" t="s">
        <v>386</v>
      </c>
    </row>
    <row r="45" spans="1:7">
      <c r="C45" t="s">
        <v>387</v>
      </c>
    </row>
    <row r="46" spans="1:7">
      <c r="C46" t="s">
        <v>388</v>
      </c>
    </row>
    <row r="47" spans="1:7">
      <c r="C47" t="s">
        <v>389</v>
      </c>
    </row>
    <row r="48" spans="1:7">
      <c r="C48" t="s">
        <v>390</v>
      </c>
    </row>
    <row r="52" spans="1:6">
      <c r="A52" s="399">
        <v>39854</v>
      </c>
      <c r="C52" t="s">
        <v>406</v>
      </c>
    </row>
    <row r="53" spans="1:6">
      <c r="C53" t="s">
        <v>407</v>
      </c>
    </row>
    <row r="54" spans="1:6">
      <c r="C54" t="s">
        <v>408</v>
      </c>
    </row>
    <row r="55" spans="1:6">
      <c r="C55" t="s">
        <v>409</v>
      </c>
    </row>
    <row r="56" spans="1:6">
      <c r="C56" t="s">
        <v>410</v>
      </c>
      <c r="E56" t="s">
        <v>411</v>
      </c>
      <c r="F56" s="128">
        <v>10000</v>
      </c>
    </row>
    <row r="57" spans="1:6">
      <c r="C57" t="s">
        <v>412</v>
      </c>
      <c r="F57" s="443">
        <v>-14000</v>
      </c>
    </row>
    <row r="58" spans="1:6">
      <c r="C58" t="s">
        <v>414</v>
      </c>
    </row>
    <row r="59" spans="1:6">
      <c r="C59" t="s">
        <v>415</v>
      </c>
    </row>
    <row r="61" spans="1:6">
      <c r="A61" s="399">
        <v>39882</v>
      </c>
      <c r="C61" t="s">
        <v>407</v>
      </c>
    </row>
    <row r="62" spans="1:6">
      <c r="C62" t="s">
        <v>409</v>
      </c>
    </row>
    <row r="63" spans="1:6">
      <c r="C63" t="s">
        <v>416</v>
      </c>
    </row>
    <row r="64" spans="1:6">
      <c r="C64" t="s">
        <v>417</v>
      </c>
    </row>
    <row r="65" spans="1:13">
      <c r="C65" t="s">
        <v>423</v>
      </c>
    </row>
    <row r="67" spans="1:13">
      <c r="A67" s="399">
        <v>39913</v>
      </c>
      <c r="C67" t="s">
        <v>389</v>
      </c>
    </row>
    <row r="68" spans="1:13">
      <c r="C68" t="s">
        <v>390</v>
      </c>
    </row>
    <row r="69" spans="1:13">
      <c r="C69" t="s">
        <v>426</v>
      </c>
    </row>
    <row r="72" spans="1:13">
      <c r="A72" s="399">
        <v>39974</v>
      </c>
      <c r="C72" t="s">
        <v>389</v>
      </c>
    </row>
    <row r="73" spans="1:13">
      <c r="C73" t="s">
        <v>434</v>
      </c>
    </row>
    <row r="74" spans="1:13">
      <c r="C74" t="s">
        <v>450</v>
      </c>
      <c r="F74">
        <v>-6000</v>
      </c>
    </row>
    <row r="75" spans="1:13">
      <c r="C75" t="s">
        <v>451</v>
      </c>
    </row>
    <row r="76" spans="1:13">
      <c r="C76" t="s">
        <v>452</v>
      </c>
    </row>
    <row r="77" spans="1:13">
      <c r="C77" t="s">
        <v>453</v>
      </c>
    </row>
    <row r="78" spans="1:13">
      <c r="M78">
        <f>2292*4</f>
        <v>9168</v>
      </c>
    </row>
    <row r="79" spans="1:13">
      <c r="A79" s="399">
        <v>40004</v>
      </c>
      <c r="C79" t="s">
        <v>456</v>
      </c>
    </row>
    <row r="80" spans="1:13">
      <c r="C80" t="s">
        <v>454</v>
      </c>
    </row>
    <row r="81" spans="1:6">
      <c r="C81" t="s">
        <v>455</v>
      </c>
    </row>
    <row r="84" spans="1:6">
      <c r="A84" s="399">
        <v>40096</v>
      </c>
      <c r="C84" t="s">
        <v>522</v>
      </c>
    </row>
    <row r="85" spans="1:6">
      <c r="C85" t="s">
        <v>523</v>
      </c>
    </row>
    <row r="88" spans="1:6">
      <c r="A88" s="399">
        <v>40127</v>
      </c>
      <c r="C88" t="s">
        <v>525</v>
      </c>
      <c r="F88">
        <v>-6000</v>
      </c>
    </row>
    <row r="89" spans="1:6">
      <c r="C89" t="s">
        <v>526</v>
      </c>
      <c r="F89">
        <v>12000</v>
      </c>
    </row>
    <row r="90" spans="1:6">
      <c r="C90" t="s">
        <v>527</v>
      </c>
      <c r="F90">
        <v>-5000</v>
      </c>
    </row>
    <row r="91" spans="1:6">
      <c r="C91" t="s">
        <v>533</v>
      </c>
      <c r="F91">
        <v>8000</v>
      </c>
    </row>
    <row r="94" spans="1:6">
      <c r="A94" s="399">
        <v>40157</v>
      </c>
      <c r="C94" t="s">
        <v>550</v>
      </c>
    </row>
    <row r="95" spans="1:6">
      <c r="B95" s="128">
        <v>20000</v>
      </c>
      <c r="C95" t="s">
        <v>551</v>
      </c>
    </row>
    <row r="96" spans="1:6">
      <c r="B96" s="128">
        <v>20000</v>
      </c>
      <c r="C96" t="s">
        <v>552</v>
      </c>
      <c r="F96">
        <v>1000</v>
      </c>
    </row>
    <row r="97" spans="1:6">
      <c r="B97" s="128">
        <v>34700</v>
      </c>
      <c r="C97" t="s">
        <v>553</v>
      </c>
      <c r="F97">
        <v>-700</v>
      </c>
    </row>
    <row r="98" spans="1:6">
      <c r="B98" s="128">
        <v>32000</v>
      </c>
      <c r="C98" t="s">
        <v>557</v>
      </c>
    </row>
    <row r="99" spans="1:6">
      <c r="C99" t="s">
        <v>554</v>
      </c>
      <c r="F99">
        <v>8000</v>
      </c>
    </row>
    <row r="100" spans="1:6">
      <c r="C100" t="s">
        <v>555</v>
      </c>
      <c r="F100">
        <f>28000*0.25</f>
        <v>7000</v>
      </c>
    </row>
    <row r="101" spans="1:6">
      <c r="C101" t="s">
        <v>556</v>
      </c>
      <c r="F101">
        <f>6000*0.48-F91</f>
        <v>-5120</v>
      </c>
    </row>
    <row r="102" spans="1:6">
      <c r="C102" t="s">
        <v>558</v>
      </c>
      <c r="F102">
        <v>-1800</v>
      </c>
    </row>
    <row r="105" spans="1:6">
      <c r="A105" s="399">
        <v>40188</v>
      </c>
      <c r="C105" t="s">
        <v>596</v>
      </c>
    </row>
    <row r="106" spans="1:6">
      <c r="C106" t="s">
        <v>597</v>
      </c>
    </row>
    <row r="107" spans="1:6">
      <c r="C107" t="s">
        <v>598</v>
      </c>
      <c r="F107">
        <v>-7000</v>
      </c>
    </row>
    <row r="108" spans="1:6">
      <c r="C108" t="s">
        <v>599</v>
      </c>
    </row>
    <row r="109" spans="1:6">
      <c r="C109" t="s">
        <v>600</v>
      </c>
    </row>
    <row r="113" spans="1:6">
      <c r="A113" s="399">
        <v>40308</v>
      </c>
      <c r="C113" s="613" t="s">
        <v>617</v>
      </c>
      <c r="F113" s="128">
        <v>-24800</v>
      </c>
    </row>
    <row r="114" spans="1:6">
      <c r="C114" s="613" t="s">
        <v>618</v>
      </c>
      <c r="F114" s="128">
        <v>-7000</v>
      </c>
    </row>
    <row r="115" spans="1:6">
      <c r="C115" s="614" t="s">
        <v>643</v>
      </c>
      <c r="F115" s="128">
        <v>614000</v>
      </c>
    </row>
    <row r="116" spans="1:6">
      <c r="C116" s="614" t="s">
        <v>644</v>
      </c>
      <c r="F116" s="128">
        <v>-156000</v>
      </c>
    </row>
    <row r="117" spans="1:6">
      <c r="C117" s="614" t="s">
        <v>642</v>
      </c>
      <c r="F117" s="128">
        <v>-14000</v>
      </c>
    </row>
    <row r="120" spans="1:6">
      <c r="A120" s="399">
        <v>40339</v>
      </c>
      <c r="C120" t="s">
        <v>661</v>
      </c>
      <c r="F120" s="128">
        <v>-7176</v>
      </c>
    </row>
    <row r="121" spans="1:6">
      <c r="C121" t="s">
        <v>662</v>
      </c>
      <c r="F121" s="128">
        <v>-2000</v>
      </c>
    </row>
    <row r="122" spans="1:6">
      <c r="C122" s="663" t="s">
        <v>683</v>
      </c>
      <c r="F122" s="128">
        <v>18000</v>
      </c>
    </row>
    <row r="123" spans="1:6">
      <c r="C123" s="663" t="s">
        <v>684</v>
      </c>
      <c r="F123" s="128">
        <v>-6000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7" workbookViewId="0">
      <selection activeCell="H86" sqref="H86"/>
    </sheetView>
  </sheetViews>
  <sheetFormatPr baseColWidth="10" defaultRowHeight="12.75"/>
  <cols>
    <col min="1" max="1" width="3.5703125" style="472" customWidth="1"/>
    <col min="2" max="2" width="11.42578125" style="472"/>
    <col min="3" max="3" width="13.140625" style="472" bestFit="1" customWidth="1"/>
    <col min="4" max="6" width="11.42578125" style="472"/>
    <col min="7" max="7" width="31.140625" style="472" customWidth="1"/>
    <col min="8" max="8" width="25.7109375" style="472" customWidth="1"/>
    <col min="9" max="9" width="24.140625" style="472" customWidth="1"/>
    <col min="10" max="10" width="2.7109375" style="472" customWidth="1"/>
    <col min="11" max="16384" width="11.42578125" style="472"/>
  </cols>
  <sheetData>
    <row r="3" spans="2:9" s="470" customFormat="1" ht="18">
      <c r="C3" s="471" t="s">
        <v>501</v>
      </c>
      <c r="D3" s="471"/>
      <c r="E3" s="471"/>
      <c r="F3" s="471"/>
      <c r="G3" s="471"/>
      <c r="H3" s="471"/>
      <c r="I3" s="471"/>
    </row>
    <row r="6" spans="2:9">
      <c r="C6" s="473" t="s">
        <v>465</v>
      </c>
      <c r="D6" s="474"/>
      <c r="E6" s="473" t="s">
        <v>466</v>
      </c>
      <c r="F6" s="474"/>
      <c r="G6" s="475" t="s">
        <v>467</v>
      </c>
      <c r="H6" s="475" t="s">
        <v>468</v>
      </c>
      <c r="I6" s="475" t="s">
        <v>469</v>
      </c>
    </row>
    <row r="7" spans="2:9">
      <c r="B7" s="476" t="s">
        <v>470</v>
      </c>
      <c r="C7" s="477" t="s">
        <v>471</v>
      </c>
      <c r="D7" s="478"/>
      <c r="E7" s="477"/>
      <c r="F7" s="478">
        <v>0</v>
      </c>
      <c r="G7" s="664" t="s">
        <v>472</v>
      </c>
      <c r="H7" s="468"/>
      <c r="I7" s="664" t="s">
        <v>473</v>
      </c>
    </row>
    <row r="8" spans="2:9">
      <c r="B8" s="479"/>
      <c r="C8" s="479" t="s">
        <v>474</v>
      </c>
      <c r="D8" s="480"/>
      <c r="E8" s="479"/>
      <c r="F8" s="480">
        <v>0</v>
      </c>
      <c r="G8" s="665"/>
      <c r="H8" s="469" t="s">
        <v>475</v>
      </c>
      <c r="I8" s="665"/>
    </row>
    <row r="9" spans="2:9">
      <c r="B9" s="479"/>
      <c r="C9" s="479" t="s">
        <v>476</v>
      </c>
      <c r="D9" s="480"/>
      <c r="E9" s="479"/>
      <c r="F9" s="480">
        <v>0</v>
      </c>
      <c r="G9" s="665"/>
      <c r="H9" s="469"/>
      <c r="I9" s="665"/>
    </row>
    <row r="10" spans="2:9">
      <c r="B10" s="481"/>
      <c r="C10" s="481" t="s">
        <v>477</v>
      </c>
      <c r="D10" s="482"/>
      <c r="E10" s="481"/>
      <c r="F10" s="482">
        <v>0</v>
      </c>
      <c r="G10" s="483"/>
      <c r="H10" s="483"/>
      <c r="I10" s="483"/>
    </row>
    <row r="11" spans="2:9" ht="12.75" customHeight="1">
      <c r="B11" s="476" t="s">
        <v>478</v>
      </c>
      <c r="C11" s="477" t="s">
        <v>479</v>
      </c>
      <c r="D11" s="485">
        <v>76.22</v>
      </c>
      <c r="E11" s="486">
        <v>0.7</v>
      </c>
      <c r="F11" s="485">
        <f>+E11*D11</f>
        <v>53.353999999999999</v>
      </c>
      <c r="G11" s="664" t="s">
        <v>480</v>
      </c>
      <c r="H11" s="468" t="s">
        <v>229</v>
      </c>
      <c r="I11" s="487"/>
    </row>
    <row r="12" spans="2:9">
      <c r="B12" s="479"/>
      <c r="C12" s="479"/>
      <c r="D12" s="488">
        <f>762.25-D11</f>
        <v>686.03</v>
      </c>
      <c r="E12" s="489">
        <v>0.5</v>
      </c>
      <c r="F12" s="488">
        <f>+E12*D12</f>
        <v>343.01499999999999</v>
      </c>
      <c r="G12" s="665"/>
      <c r="H12" s="469"/>
      <c r="I12" s="490"/>
    </row>
    <row r="13" spans="2:9">
      <c r="B13" s="479"/>
      <c r="C13" s="479"/>
      <c r="D13" s="488">
        <f>+F13/E13+762.25</f>
        <v>6479.1049999999987</v>
      </c>
      <c r="E13" s="489">
        <v>0.2</v>
      </c>
      <c r="F13" s="488">
        <f>+F14-F12-F11</f>
        <v>1143.3709999999999</v>
      </c>
      <c r="G13" s="665"/>
      <c r="H13" s="665" t="s">
        <v>481</v>
      </c>
      <c r="I13" s="665" t="s">
        <v>482</v>
      </c>
    </row>
    <row r="14" spans="2:9">
      <c r="B14" s="479"/>
      <c r="C14" s="491" t="s">
        <v>483</v>
      </c>
      <c r="D14" s="492">
        <f>SUM(D11:D13)</f>
        <v>7241.3549999999987</v>
      </c>
      <c r="E14" s="491" t="s">
        <v>484</v>
      </c>
      <c r="F14" s="492">
        <v>1539.74</v>
      </c>
      <c r="G14" s="665"/>
      <c r="H14" s="665"/>
      <c r="I14" s="665"/>
    </row>
    <row r="15" spans="2:9">
      <c r="B15" s="479"/>
      <c r="C15" s="479"/>
      <c r="D15" s="480"/>
      <c r="E15" s="479"/>
      <c r="F15" s="480"/>
      <c r="G15" s="665"/>
      <c r="H15" s="493" t="s">
        <v>485</v>
      </c>
      <c r="I15" s="665"/>
    </row>
    <row r="16" spans="2:9">
      <c r="B16" s="479"/>
      <c r="C16" s="479" t="s">
        <v>486</v>
      </c>
      <c r="D16" s="480"/>
      <c r="E16" s="494">
        <v>0.7</v>
      </c>
      <c r="F16" s="488"/>
      <c r="G16" s="665"/>
      <c r="H16" s="493"/>
      <c r="I16" s="490"/>
    </row>
    <row r="17" spans="2:9">
      <c r="B17" s="479"/>
      <c r="C17" s="479"/>
      <c r="D17" s="480"/>
      <c r="E17" s="479"/>
      <c r="F17" s="480"/>
      <c r="G17" s="665"/>
      <c r="H17" s="493"/>
      <c r="I17" s="490"/>
    </row>
    <row r="18" spans="2:9">
      <c r="B18" s="481"/>
      <c r="C18" s="481"/>
      <c r="D18" s="482"/>
      <c r="E18" s="481" t="s">
        <v>487</v>
      </c>
      <c r="F18" s="495">
        <v>2744.64</v>
      </c>
      <c r="G18" s="666"/>
      <c r="H18" s="496"/>
      <c r="I18" s="483"/>
    </row>
    <row r="19" spans="2:9">
      <c r="B19" s="476" t="s">
        <v>488</v>
      </c>
      <c r="C19" s="477" t="s">
        <v>479</v>
      </c>
      <c r="D19" s="485">
        <v>200</v>
      </c>
      <c r="E19" s="486">
        <v>1</v>
      </c>
      <c r="F19" s="485">
        <f>+E19*D19</f>
        <v>200</v>
      </c>
      <c r="G19" s="664" t="s">
        <v>489</v>
      </c>
      <c r="H19" s="475" t="s">
        <v>490</v>
      </c>
      <c r="I19" s="487"/>
    </row>
    <row r="20" spans="2:9">
      <c r="B20" s="479"/>
      <c r="C20" s="479"/>
      <c r="D20" s="488">
        <v>600</v>
      </c>
      <c r="E20" s="489">
        <v>0.7</v>
      </c>
      <c r="F20" s="488">
        <f>+E20*D20</f>
        <v>420</v>
      </c>
      <c r="G20" s="665"/>
      <c r="H20" s="493"/>
      <c r="I20" s="490"/>
    </row>
    <row r="21" spans="2:9">
      <c r="B21" s="479"/>
      <c r="C21" s="479"/>
      <c r="D21" s="488">
        <f>+F21/E21+800</f>
        <v>4066.666666666667</v>
      </c>
      <c r="E21" s="489">
        <v>0.3</v>
      </c>
      <c r="F21" s="488">
        <f>+F22-F20-F19</f>
        <v>980</v>
      </c>
      <c r="G21" s="665"/>
      <c r="H21" s="493"/>
      <c r="I21" s="490"/>
    </row>
    <row r="22" spans="2:9">
      <c r="B22" s="479"/>
      <c r="C22" s="491" t="s">
        <v>483</v>
      </c>
      <c r="D22" s="492">
        <f>SUM(D19:D21)</f>
        <v>4866.666666666667</v>
      </c>
      <c r="E22" s="491" t="s">
        <v>484</v>
      </c>
      <c r="F22" s="492">
        <v>1600</v>
      </c>
      <c r="G22" s="665"/>
      <c r="H22" s="665" t="s">
        <v>481</v>
      </c>
      <c r="I22" s="490" t="s">
        <v>491</v>
      </c>
    </row>
    <row r="23" spans="2:9">
      <c r="B23" s="479"/>
      <c r="C23" s="479"/>
      <c r="D23" s="480"/>
      <c r="E23" s="479"/>
      <c r="F23" s="480"/>
      <c r="G23" s="665"/>
      <c r="H23" s="665"/>
      <c r="I23" s="490"/>
    </row>
    <row r="24" spans="2:9">
      <c r="B24" s="479"/>
      <c r="C24" s="479" t="s">
        <v>486</v>
      </c>
      <c r="D24" s="480"/>
      <c r="E24" s="494">
        <v>0.7</v>
      </c>
      <c r="F24" s="480"/>
      <c r="G24" s="665"/>
      <c r="H24" s="493" t="s">
        <v>492</v>
      </c>
      <c r="I24" s="490"/>
    </row>
    <row r="25" spans="2:9">
      <c r="B25" s="479"/>
      <c r="C25" s="479"/>
      <c r="D25" s="480"/>
      <c r="E25" s="479"/>
      <c r="F25" s="480"/>
      <c r="G25" s="665"/>
      <c r="H25" s="493"/>
      <c r="I25" s="490"/>
    </row>
    <row r="26" spans="2:9">
      <c r="B26" s="479"/>
      <c r="C26" s="479" t="s">
        <v>493</v>
      </c>
      <c r="D26" s="480"/>
      <c r="E26" s="494">
        <v>0.3</v>
      </c>
      <c r="F26" s="480"/>
      <c r="G26" s="665"/>
      <c r="H26" s="493"/>
      <c r="I26" s="490"/>
    </row>
    <row r="27" spans="2:9">
      <c r="B27" s="479"/>
      <c r="C27" s="479"/>
      <c r="D27" s="480"/>
      <c r="E27" s="479"/>
      <c r="F27" s="480"/>
      <c r="G27" s="665"/>
      <c r="H27" s="493"/>
      <c r="I27" s="490"/>
    </row>
    <row r="28" spans="2:9">
      <c r="B28" s="481"/>
      <c r="C28" s="481"/>
      <c r="D28" s="482"/>
      <c r="E28" s="481" t="s">
        <v>487</v>
      </c>
      <c r="F28" s="495">
        <v>5489</v>
      </c>
      <c r="G28" s="666"/>
      <c r="H28" s="496"/>
      <c r="I28" s="483"/>
    </row>
    <row r="32" spans="2:9">
      <c r="B32" s="472" t="s">
        <v>494</v>
      </c>
    </row>
    <row r="34" spans="1:9">
      <c r="C34" s="472" t="s">
        <v>470</v>
      </c>
      <c r="D34" s="472" t="s">
        <v>495</v>
      </c>
    </row>
    <row r="36" spans="1:9">
      <c r="C36" s="472" t="s">
        <v>478</v>
      </c>
      <c r="D36" s="472" t="s">
        <v>496</v>
      </c>
    </row>
    <row r="37" spans="1:9">
      <c r="D37" s="472" t="s">
        <v>497</v>
      </c>
    </row>
    <row r="38" spans="1:9">
      <c r="D38" s="472" t="s">
        <v>521</v>
      </c>
    </row>
    <row r="40" spans="1:9">
      <c r="C40" s="472" t="s">
        <v>499</v>
      </c>
      <c r="D40" s="472" t="s">
        <v>500</v>
      </c>
    </row>
    <row r="41" spans="1:9">
      <c r="D41" s="472" t="s">
        <v>498</v>
      </c>
    </row>
    <row r="45" spans="1:9" s="570" customFormat="1" ht="15.75">
      <c r="A45" s="570" t="s">
        <v>560</v>
      </c>
    </row>
    <row r="48" spans="1:9" s="497" customFormat="1" ht="25.5">
      <c r="B48" s="512" t="s">
        <v>508</v>
      </c>
      <c r="C48" s="513" t="s">
        <v>465</v>
      </c>
      <c r="D48" s="513" t="s">
        <v>503</v>
      </c>
      <c r="E48" s="513" t="s">
        <v>505</v>
      </c>
      <c r="F48" s="513" t="s">
        <v>504</v>
      </c>
      <c r="G48" s="513" t="s">
        <v>502</v>
      </c>
      <c r="H48" s="513" t="s">
        <v>506</v>
      </c>
      <c r="I48" s="514" t="s">
        <v>507</v>
      </c>
    </row>
    <row r="49" spans="1:11">
      <c r="B49" s="499">
        <v>39447</v>
      </c>
      <c r="C49" s="500">
        <v>2500</v>
      </c>
      <c r="D49" s="500">
        <f>743.92-57.72</f>
        <v>686.19999999999993</v>
      </c>
      <c r="E49" s="501">
        <v>120.76</v>
      </c>
      <c r="F49" s="501">
        <f>+ROUND((C49+D49)/E49,4)</f>
        <v>26.384599999999999</v>
      </c>
      <c r="G49" s="502" t="s">
        <v>509</v>
      </c>
      <c r="H49" s="500">
        <f>+C49+D49</f>
        <v>3186.2</v>
      </c>
      <c r="I49" s="503">
        <v>41091</v>
      </c>
    </row>
    <row r="50" spans="1:11">
      <c r="B50" s="504">
        <v>39447</v>
      </c>
      <c r="C50" s="505">
        <v>4000</v>
      </c>
      <c r="D50" s="505">
        <f>795.82-61.75</f>
        <v>734.07</v>
      </c>
      <c r="E50" s="506">
        <v>173.62</v>
      </c>
      <c r="F50" s="506">
        <f>+ROUND((C50+D50)/E50,4)</f>
        <v>27.2668</v>
      </c>
      <c r="G50" s="484" t="s">
        <v>510</v>
      </c>
      <c r="H50" s="505">
        <f>+C50+D50</f>
        <v>4734.07</v>
      </c>
      <c r="I50" s="507">
        <v>41091</v>
      </c>
    </row>
    <row r="51" spans="1:11">
      <c r="B51" s="508" t="s">
        <v>511</v>
      </c>
      <c r="C51" s="509">
        <f>SUM(C49:C50)</f>
        <v>6500</v>
      </c>
      <c r="D51" s="509"/>
      <c r="E51" s="510"/>
      <c r="F51" s="510"/>
      <c r="G51" s="510"/>
      <c r="H51" s="509">
        <f>SUM(H49:H50)</f>
        <v>7920.2699999999995</v>
      </c>
      <c r="I51" s="511"/>
    </row>
    <row r="52" spans="1:11">
      <c r="B52" s="515"/>
      <c r="C52" s="516"/>
      <c r="D52" s="516"/>
      <c r="E52" s="515"/>
      <c r="F52" s="515"/>
      <c r="G52" s="515"/>
      <c r="H52" s="516"/>
      <c r="I52" s="515"/>
    </row>
    <row r="53" spans="1:11">
      <c r="B53" s="515"/>
      <c r="C53" s="516"/>
      <c r="D53" s="516"/>
      <c r="E53" s="515"/>
      <c r="F53" s="515"/>
      <c r="G53" s="515"/>
      <c r="H53" s="516"/>
      <c r="I53" s="515"/>
    </row>
    <row r="54" spans="1:11">
      <c r="B54" s="472" t="s">
        <v>512</v>
      </c>
      <c r="C54" s="498"/>
      <c r="D54" s="498"/>
    </row>
    <row r="55" spans="1:11" ht="25.5">
      <c r="B55" s="512" t="s">
        <v>508</v>
      </c>
      <c r="C55" s="513" t="s">
        <v>465</v>
      </c>
      <c r="D55" s="513" t="s">
        <v>503</v>
      </c>
      <c r="E55" s="513" t="s">
        <v>505</v>
      </c>
      <c r="F55" s="513" t="s">
        <v>504</v>
      </c>
      <c r="G55" s="513" t="s">
        <v>502</v>
      </c>
      <c r="H55" s="513" t="s">
        <v>506</v>
      </c>
      <c r="I55" s="514" t="s">
        <v>507</v>
      </c>
    </row>
    <row r="56" spans="1:11">
      <c r="B56" s="499">
        <v>39470</v>
      </c>
      <c r="C56" s="500">
        <v>2500</v>
      </c>
      <c r="D56" s="500">
        <f>743.92-57.72</f>
        <v>686.19999999999993</v>
      </c>
      <c r="E56" s="517">
        <v>25.9</v>
      </c>
      <c r="F56" s="529">
        <v>122.7642</v>
      </c>
      <c r="G56" s="502" t="s">
        <v>513</v>
      </c>
      <c r="H56" s="500">
        <f>+E56*F56</f>
        <v>3179.5927799999999</v>
      </c>
      <c r="I56" s="503">
        <v>41091</v>
      </c>
    </row>
    <row r="57" spans="1:11">
      <c r="B57" s="504">
        <v>39470</v>
      </c>
      <c r="C57" s="505">
        <v>4000</v>
      </c>
      <c r="D57" s="505">
        <f>795.82-61.75</f>
        <v>734.07</v>
      </c>
      <c r="E57" s="518">
        <v>21.08</v>
      </c>
      <c r="F57" s="530">
        <v>215.1078</v>
      </c>
      <c r="G57" s="484" t="s">
        <v>519</v>
      </c>
      <c r="H57" s="505">
        <f>+E57*F57</f>
        <v>4534.4724239999996</v>
      </c>
      <c r="I57" s="507">
        <v>41091</v>
      </c>
    </row>
    <row r="58" spans="1:11">
      <c r="B58" s="508" t="s">
        <v>511</v>
      </c>
      <c r="C58" s="509">
        <f>SUM(C56:C57)</f>
        <v>6500</v>
      </c>
      <c r="D58" s="509"/>
      <c r="E58" s="510"/>
      <c r="F58" s="510"/>
      <c r="G58" s="510"/>
      <c r="H58" s="527">
        <f>SUM(H56:H57)</f>
        <v>7714.0652039999995</v>
      </c>
      <c r="I58" s="511"/>
    </row>
    <row r="59" spans="1:11">
      <c r="A59" s="519"/>
      <c r="B59" s="519"/>
      <c r="C59" s="520"/>
      <c r="D59" s="520"/>
      <c r="E59" s="519"/>
      <c r="F59" s="519"/>
      <c r="G59" s="519"/>
      <c r="H59" s="519"/>
      <c r="I59" s="519"/>
      <c r="J59" s="519"/>
      <c r="K59" s="519"/>
    </row>
    <row r="60" spans="1:11">
      <c r="C60" s="498"/>
      <c r="D60" s="498"/>
    </row>
    <row r="61" spans="1:11" ht="25.5">
      <c r="B61" s="512" t="s">
        <v>508</v>
      </c>
      <c r="C61" s="513" t="s">
        <v>465</v>
      </c>
      <c r="D61" s="513" t="s">
        <v>503</v>
      </c>
      <c r="E61" s="513" t="s">
        <v>505</v>
      </c>
      <c r="F61" s="513" t="s">
        <v>504</v>
      </c>
      <c r="G61" s="513" t="s">
        <v>502</v>
      </c>
      <c r="H61" s="513" t="s">
        <v>506</v>
      </c>
      <c r="I61" s="514" t="s">
        <v>507</v>
      </c>
    </row>
    <row r="62" spans="1:11">
      <c r="B62" s="499">
        <v>39539</v>
      </c>
      <c r="C62" s="500">
        <v>0</v>
      </c>
      <c r="D62" s="500">
        <f>374.21+2.25</f>
        <v>376.46</v>
      </c>
      <c r="E62" s="501">
        <v>21.77</v>
      </c>
      <c r="F62" s="531">
        <f>+ROUND((C62+D62)/E62,4)</f>
        <v>17.2926</v>
      </c>
      <c r="G62" s="522" t="s">
        <v>514</v>
      </c>
      <c r="H62" s="516">
        <f>+E62*F62</f>
        <v>376.459902</v>
      </c>
      <c r="I62" s="523">
        <v>41365</v>
      </c>
      <c r="K62" s="472" t="s">
        <v>515</v>
      </c>
    </row>
    <row r="63" spans="1:11">
      <c r="B63" s="521">
        <v>39624</v>
      </c>
      <c r="C63" s="516">
        <v>132.28</v>
      </c>
      <c r="D63" s="516">
        <f>92.6-7.18</f>
        <v>85.419999999999987</v>
      </c>
      <c r="E63" s="515">
        <v>21.84</v>
      </c>
      <c r="F63" s="531">
        <f>+ROUND((C63+D63)/E63,4)</f>
        <v>9.9679000000000002</v>
      </c>
      <c r="G63" s="522" t="s">
        <v>514</v>
      </c>
      <c r="H63" s="516">
        <f>+E63*F63</f>
        <v>217.698936</v>
      </c>
      <c r="I63" s="523">
        <v>41456</v>
      </c>
      <c r="K63" s="472" t="s">
        <v>515</v>
      </c>
    </row>
    <row r="64" spans="1:11" s="524" customFormat="1">
      <c r="B64" s="525">
        <v>39645</v>
      </c>
      <c r="C64" s="526">
        <v>5963</v>
      </c>
      <c r="D64" s="526">
        <f>5794.55+1287.62-5963</f>
        <v>1119.17</v>
      </c>
      <c r="E64" s="526">
        <f>(+C64+D64)/F64</f>
        <v>24.230937668931638</v>
      </c>
      <c r="F64" s="531">
        <f>294.1101-F65</f>
        <v>292.27799999999996</v>
      </c>
      <c r="G64" s="522" t="s">
        <v>513</v>
      </c>
      <c r="H64" s="526">
        <f>+E64*F64</f>
        <v>7082.17</v>
      </c>
      <c r="I64" s="523">
        <v>41456</v>
      </c>
      <c r="K64" s="524" t="s">
        <v>517</v>
      </c>
    </row>
    <row r="65" spans="1:12">
      <c r="B65" s="521">
        <v>39651</v>
      </c>
      <c r="C65" s="516">
        <v>0</v>
      </c>
      <c r="D65" s="516">
        <f>49.21-3.81</f>
        <v>45.4</v>
      </c>
      <c r="E65" s="515">
        <v>24.78</v>
      </c>
      <c r="F65" s="531">
        <f>+ROUND((C65+D65)/E65,4)</f>
        <v>1.8321000000000001</v>
      </c>
      <c r="G65" s="522" t="s">
        <v>513</v>
      </c>
      <c r="H65" s="516">
        <f>+E65*F65</f>
        <v>45.399438000000004</v>
      </c>
      <c r="I65" s="523">
        <v>41456</v>
      </c>
      <c r="K65" s="472" t="s">
        <v>518</v>
      </c>
    </row>
    <row r="66" spans="1:12">
      <c r="B66" s="504">
        <v>39470</v>
      </c>
      <c r="C66" s="505"/>
      <c r="D66" s="505"/>
      <c r="E66" s="518">
        <v>21.08</v>
      </c>
      <c r="F66" s="506">
        <f>+ROUND((C66+D66)/E66,4)</f>
        <v>0</v>
      </c>
      <c r="G66" s="484" t="s">
        <v>519</v>
      </c>
      <c r="H66" s="505">
        <f>+E66*F66</f>
        <v>0</v>
      </c>
      <c r="I66" s="507">
        <v>41091</v>
      </c>
    </row>
    <row r="67" spans="1:12">
      <c r="B67" s="508" t="s">
        <v>516</v>
      </c>
      <c r="C67" s="509">
        <f>SUM(C62:C66)</f>
        <v>6095.28</v>
      </c>
      <c r="D67" s="509"/>
      <c r="E67" s="510"/>
      <c r="F67" s="510"/>
      <c r="G67" s="510"/>
      <c r="H67" s="527">
        <f>SUM(H62:H66)</f>
        <v>7721.7282760000007</v>
      </c>
      <c r="I67" s="511"/>
    </row>
    <row r="68" spans="1:12">
      <c r="A68" s="519"/>
      <c r="B68" s="528"/>
      <c r="C68" s="520"/>
      <c r="D68" s="520"/>
      <c r="E68" s="519"/>
      <c r="F68" s="519"/>
      <c r="G68" s="519"/>
      <c r="H68" s="519"/>
      <c r="I68" s="519"/>
      <c r="J68" s="519"/>
      <c r="K68" s="519"/>
    </row>
    <row r="69" spans="1:12">
      <c r="C69" s="498"/>
      <c r="D69" s="498"/>
    </row>
    <row r="70" spans="1:12" ht="25.5">
      <c r="B70" s="512" t="s">
        <v>508</v>
      </c>
      <c r="C70" s="513" t="s">
        <v>465</v>
      </c>
      <c r="D70" s="513" t="s">
        <v>503</v>
      </c>
      <c r="E70" s="513" t="s">
        <v>505</v>
      </c>
      <c r="F70" s="513" t="s">
        <v>504</v>
      </c>
      <c r="G70" s="513" t="s">
        <v>502</v>
      </c>
      <c r="H70" s="513" t="s">
        <v>506</v>
      </c>
      <c r="I70" s="514" t="s">
        <v>507</v>
      </c>
    </row>
    <row r="71" spans="1:12">
      <c r="B71" s="499">
        <v>40025</v>
      </c>
      <c r="C71" s="500">
        <v>1668.65</v>
      </c>
      <c r="D71" s="500">
        <v>989.64</v>
      </c>
      <c r="E71" s="517">
        <f>+(C71+D71)/F71</f>
        <v>15.930018636927484</v>
      </c>
      <c r="F71" s="567">
        <v>166.87299999999999</v>
      </c>
      <c r="G71" s="522" t="s">
        <v>519</v>
      </c>
      <c r="H71" s="516">
        <f>+E71*F71</f>
        <v>2658.29</v>
      </c>
      <c r="I71" s="523">
        <v>41821</v>
      </c>
    </row>
    <row r="72" spans="1:12">
      <c r="B72" s="521">
        <v>40165</v>
      </c>
      <c r="C72" s="516">
        <v>3500</v>
      </c>
      <c r="D72" s="516">
        <f>695.82-53.99</f>
        <v>641.83000000000004</v>
      </c>
      <c r="E72" s="566">
        <f>+(C72+D72)/F72</f>
        <v>16.146830693804226</v>
      </c>
      <c r="F72" s="568">
        <f>217.666+38.8444</f>
        <v>256.5104</v>
      </c>
      <c r="G72" s="522" t="s">
        <v>519</v>
      </c>
      <c r="H72" s="516">
        <f>+E72*F72</f>
        <v>4141.83</v>
      </c>
      <c r="I72" s="523">
        <v>41821</v>
      </c>
    </row>
    <row r="73" spans="1:12">
      <c r="B73" s="521">
        <v>40165</v>
      </c>
      <c r="C73" s="516">
        <v>3000</v>
      </c>
      <c r="D73" s="516">
        <f>843.92-65.48</f>
        <v>778.43999999999994</v>
      </c>
      <c r="E73" s="566">
        <f>+(C73+D73)/F73</f>
        <v>26.360626916382081</v>
      </c>
      <c r="F73" s="568">
        <f>113.9199+29.4166</f>
        <v>143.3365</v>
      </c>
      <c r="G73" s="522" t="s">
        <v>513</v>
      </c>
      <c r="H73" s="516">
        <f>+E73*F73</f>
        <v>3778.44</v>
      </c>
      <c r="I73" s="523">
        <v>41821</v>
      </c>
    </row>
    <row r="74" spans="1:12">
      <c r="B74" s="521"/>
      <c r="C74" s="516"/>
      <c r="D74" s="516"/>
      <c r="E74" s="515">
        <v>24.78</v>
      </c>
      <c r="F74" s="567">
        <f>+ROUND((C74+D74)/E74,4)</f>
        <v>0</v>
      </c>
      <c r="G74" s="522"/>
      <c r="H74" s="516">
        <f>+E74*F74</f>
        <v>0</v>
      </c>
      <c r="I74" s="523"/>
    </row>
    <row r="75" spans="1:12">
      <c r="B75" s="504"/>
      <c r="C75" s="505"/>
      <c r="D75" s="505"/>
      <c r="E75" s="518">
        <v>21.08</v>
      </c>
      <c r="F75" s="569">
        <f>+ROUND((C75+D75)/E75,4)</f>
        <v>0</v>
      </c>
      <c r="G75" s="484"/>
      <c r="H75" s="505">
        <f>+E75*F75</f>
        <v>0</v>
      </c>
      <c r="I75" s="507"/>
    </row>
    <row r="76" spans="1:12">
      <c r="B76" s="508" t="s">
        <v>520</v>
      </c>
      <c r="C76" s="509">
        <f>SUM(C71:C75)</f>
        <v>8168.65</v>
      </c>
      <c r="D76" s="509"/>
      <c r="E76" s="510"/>
      <c r="F76" s="510"/>
      <c r="G76" s="510"/>
      <c r="H76" s="527">
        <f>SUM(H71:H75)</f>
        <v>10578.56</v>
      </c>
      <c r="I76" s="511"/>
    </row>
    <row r="77" spans="1:12">
      <c r="B77" s="515"/>
      <c r="C77" s="516"/>
      <c r="D77" s="516"/>
      <c r="E77" s="515"/>
      <c r="F77" s="515"/>
      <c r="G77" s="515"/>
      <c r="H77" s="532"/>
      <c r="I77" s="515"/>
      <c r="L77" s="515"/>
    </row>
    <row r="78" spans="1:12">
      <c r="B78" s="515"/>
      <c r="C78" s="516"/>
      <c r="D78" s="516"/>
      <c r="E78" s="515"/>
      <c r="F78" s="515"/>
      <c r="G78" s="515"/>
      <c r="H78" s="532"/>
      <c r="I78" s="515"/>
      <c r="L78" s="515"/>
    </row>
    <row r="79" spans="1:12">
      <c r="B79" s="515"/>
      <c r="C79" s="516"/>
      <c r="D79" s="516"/>
      <c r="E79" s="515"/>
      <c r="F79" s="515"/>
      <c r="G79" s="515"/>
      <c r="H79" s="532"/>
      <c r="I79" s="515"/>
      <c r="L79" s="515"/>
    </row>
    <row r="80" spans="1:12">
      <c r="B80" s="472" t="s">
        <v>524</v>
      </c>
      <c r="L80" s="515"/>
    </row>
    <row r="81" spans="1:15">
      <c r="B81" s="538">
        <v>40178</v>
      </c>
      <c r="C81" s="472" t="s">
        <v>559</v>
      </c>
    </row>
    <row r="82" spans="1:15" ht="25.5">
      <c r="C82" s="512" t="s">
        <v>465</v>
      </c>
      <c r="D82" s="513" t="s">
        <v>503</v>
      </c>
      <c r="E82" s="539" t="s">
        <v>505</v>
      </c>
      <c r="F82" s="513" t="s">
        <v>504</v>
      </c>
      <c r="G82" s="513" t="s">
        <v>502</v>
      </c>
      <c r="H82" s="514" t="s">
        <v>506</v>
      </c>
      <c r="I82" s="645"/>
      <c r="K82" s="652" t="s">
        <v>504</v>
      </c>
      <c r="L82" s="646" t="s">
        <v>655</v>
      </c>
      <c r="M82" s="643" t="s">
        <v>656</v>
      </c>
      <c r="N82" s="647" t="s">
        <v>657</v>
      </c>
      <c r="O82" s="651" t="s">
        <v>18</v>
      </c>
    </row>
    <row r="83" spans="1:15">
      <c r="C83" s="540">
        <f t="shared" ref="C83:D85" si="0">SUMIF($G$56:$G$75,$G83,C$56:C$75)</f>
        <v>11463</v>
      </c>
      <c r="D83" s="541">
        <f t="shared" si="0"/>
        <v>2629.21</v>
      </c>
      <c r="E83" s="529">
        <v>26.449259999999999</v>
      </c>
      <c r="F83" s="501">
        <f>SUMIF($G$56:$G$75,$G83,F$56:F$75)</f>
        <v>560.21080000000006</v>
      </c>
      <c r="G83" s="502" t="s">
        <v>513</v>
      </c>
      <c r="H83" s="542">
        <f>+F83*E83</f>
        <v>14817.161104008001</v>
      </c>
      <c r="I83" s="645"/>
      <c r="K83" s="648" t="s">
        <v>654</v>
      </c>
      <c r="L83" s="501">
        <v>122.7642</v>
      </c>
      <c r="M83" s="501">
        <v>294.11009999999999</v>
      </c>
      <c r="N83" s="501">
        <v>143.3365</v>
      </c>
      <c r="O83" s="487">
        <f>SUM(L83:N83)</f>
        <v>560.21080000000006</v>
      </c>
    </row>
    <row r="84" spans="1:15">
      <c r="C84" s="534">
        <f t="shared" si="0"/>
        <v>132.28</v>
      </c>
      <c r="D84" s="535">
        <f t="shared" si="0"/>
        <v>461.88</v>
      </c>
      <c r="E84" s="531">
        <v>22.508620000000001</v>
      </c>
      <c r="F84" s="515">
        <f>SUMIF($G$56:$G$75,$G84,F$56:F$75)</f>
        <v>27.2605</v>
      </c>
      <c r="G84" s="522" t="s">
        <v>514</v>
      </c>
      <c r="H84" s="543">
        <f>+F84*E84</f>
        <v>613.59623551000004</v>
      </c>
      <c r="I84" s="645"/>
      <c r="K84" s="649" t="s">
        <v>658</v>
      </c>
      <c r="L84" s="515"/>
      <c r="M84" s="515">
        <v>17.2926</v>
      </c>
      <c r="N84" s="515">
        <v>9.9678000000000004</v>
      </c>
      <c r="O84" s="490">
        <f>SUM(L84:N84)</f>
        <v>27.260400000000001</v>
      </c>
    </row>
    <row r="85" spans="1:15">
      <c r="C85" s="536">
        <f t="shared" si="0"/>
        <v>9168.65</v>
      </c>
      <c r="D85" s="537">
        <f t="shared" si="0"/>
        <v>2365.54</v>
      </c>
      <c r="E85" s="530">
        <v>16.523240000000001</v>
      </c>
      <c r="F85" s="506">
        <f>SUMIF($G$56:$G$75,$G85,F$56:F$75)</f>
        <v>638.49119999999994</v>
      </c>
      <c r="G85" s="484" t="s">
        <v>519</v>
      </c>
      <c r="H85" s="544">
        <f>+F85*E85</f>
        <v>10549.943335488</v>
      </c>
      <c r="I85" s="645"/>
      <c r="K85" s="650" t="s">
        <v>659</v>
      </c>
      <c r="L85" s="506">
        <v>215.1078</v>
      </c>
      <c r="M85" s="506"/>
      <c r="N85" s="506">
        <v>423.38350000000003</v>
      </c>
      <c r="O85" s="483">
        <f>SUM(L85:N85)</f>
        <v>638.49130000000002</v>
      </c>
    </row>
    <row r="86" spans="1:15">
      <c r="B86" s="533" t="s">
        <v>18</v>
      </c>
      <c r="C86" s="545">
        <f>SUM(C83:C85)</f>
        <v>20763.93</v>
      </c>
      <c r="D86" s="545">
        <f>SUM(D83:D85)</f>
        <v>5456.63</v>
      </c>
      <c r="E86" s="510"/>
      <c r="F86" s="510"/>
      <c r="G86" s="510"/>
      <c r="H86" s="546">
        <f>SUM(H83:H85)</f>
        <v>25980.700675006003</v>
      </c>
      <c r="L86" s="515"/>
    </row>
    <row r="89" spans="1:15" ht="15.75">
      <c r="A89" s="570" t="s">
        <v>561</v>
      </c>
      <c r="B89" s="570"/>
    </row>
    <row r="91" spans="1:15" ht="25.5">
      <c r="B91" s="512" t="s">
        <v>508</v>
      </c>
      <c r="C91" s="513" t="s">
        <v>465</v>
      </c>
      <c r="D91" s="513" t="s">
        <v>503</v>
      </c>
      <c r="E91" s="513" t="s">
        <v>505</v>
      </c>
      <c r="F91" s="513" t="s">
        <v>504</v>
      </c>
      <c r="G91" s="513" t="s">
        <v>502</v>
      </c>
      <c r="H91" s="513" t="s">
        <v>506</v>
      </c>
      <c r="I91" s="514" t="s">
        <v>507</v>
      </c>
    </row>
    <row r="92" spans="1:15">
      <c r="B92" s="499">
        <v>40177</v>
      </c>
      <c r="C92" s="500">
        <v>7695.59</v>
      </c>
      <c r="D92" s="500">
        <v>0</v>
      </c>
      <c r="E92" s="517">
        <f t="shared" ref="E92:E98" si="1">+(C92+D92)/F92</f>
        <v>148.32013105907296</v>
      </c>
      <c r="F92" s="571">
        <v>51.884999999999998</v>
      </c>
      <c r="G92" s="522" t="s">
        <v>563</v>
      </c>
      <c r="H92" s="516">
        <f t="shared" ref="H92:H97" si="2">+E92*F92</f>
        <v>7695.59</v>
      </c>
      <c r="I92" s="572" t="s">
        <v>565</v>
      </c>
      <c r="K92" s="472" t="s">
        <v>470</v>
      </c>
    </row>
    <row r="93" spans="1:15">
      <c r="B93" s="521">
        <v>40177</v>
      </c>
      <c r="C93" s="516">
        <v>352.51</v>
      </c>
      <c r="D93" s="516">
        <v>0</v>
      </c>
      <c r="E93" s="566">
        <f t="shared" si="1"/>
        <v>124.62348865162978</v>
      </c>
      <c r="F93" s="571">
        <v>2.8285999999999998</v>
      </c>
      <c r="G93" s="522" t="s">
        <v>563</v>
      </c>
      <c r="H93" s="516">
        <f t="shared" si="2"/>
        <v>352.51</v>
      </c>
      <c r="I93" s="572" t="s">
        <v>565</v>
      </c>
      <c r="K93" s="472" t="s">
        <v>470</v>
      </c>
    </row>
    <row r="94" spans="1:15">
      <c r="B94" s="521">
        <v>40162</v>
      </c>
      <c r="C94" s="516">
        <v>4016.04</v>
      </c>
      <c r="D94" s="516"/>
      <c r="E94" s="566">
        <f t="shared" si="1"/>
        <v>145.07033095645767</v>
      </c>
      <c r="F94" s="571">
        <f>27.6834</f>
        <v>27.683399999999999</v>
      </c>
      <c r="G94" s="522" t="s">
        <v>563</v>
      </c>
      <c r="H94" s="516">
        <f t="shared" si="2"/>
        <v>4016.04</v>
      </c>
      <c r="I94" s="572" t="s">
        <v>565</v>
      </c>
    </row>
    <row r="95" spans="1:15">
      <c r="B95" s="521">
        <v>40175</v>
      </c>
      <c r="C95" s="516">
        <v>0</v>
      </c>
      <c r="D95" s="516">
        <f>1529.93-118.72</f>
        <v>1411.21</v>
      </c>
      <c r="E95" s="566">
        <f t="shared" si="1"/>
        <v>148.46090725467096</v>
      </c>
      <c r="F95" s="571">
        <f>9.5056</f>
        <v>9.5055999999999994</v>
      </c>
      <c r="G95" s="522" t="s">
        <v>563</v>
      </c>
      <c r="H95" s="516">
        <f t="shared" si="2"/>
        <v>1411.2100000000003</v>
      </c>
      <c r="I95" s="572" t="s">
        <v>565</v>
      </c>
    </row>
    <row r="96" spans="1:15">
      <c r="B96" s="521">
        <v>40162</v>
      </c>
      <c r="C96" s="516">
        <v>183.96</v>
      </c>
      <c r="D96" s="516"/>
      <c r="E96" s="566">
        <f t="shared" si="1"/>
        <v>124.75247524752477</v>
      </c>
      <c r="F96" s="571">
        <v>1.4745999999999999</v>
      </c>
      <c r="G96" s="522" t="s">
        <v>564</v>
      </c>
      <c r="H96" s="516">
        <f t="shared" si="2"/>
        <v>183.96</v>
      </c>
      <c r="I96" s="572" t="s">
        <v>565</v>
      </c>
    </row>
    <row r="97" spans="2:9">
      <c r="B97" s="521">
        <v>40175</v>
      </c>
      <c r="C97" s="516">
        <v>0</v>
      </c>
      <c r="D97" s="516">
        <f>70.08-5.43</f>
        <v>64.650000000000006</v>
      </c>
      <c r="E97" s="566">
        <f t="shared" si="1"/>
        <v>124.87927371064323</v>
      </c>
      <c r="F97" s="571">
        <v>0.51770000000000005</v>
      </c>
      <c r="G97" s="522" t="s">
        <v>564</v>
      </c>
      <c r="H97" s="516">
        <f t="shared" si="2"/>
        <v>64.650000000000006</v>
      </c>
      <c r="I97" s="572" t="s">
        <v>565</v>
      </c>
    </row>
    <row r="98" spans="2:9">
      <c r="B98" s="521">
        <v>40175</v>
      </c>
      <c r="C98" s="516">
        <v>0</v>
      </c>
      <c r="D98" s="516">
        <f>100-7.76</f>
        <v>92.24</v>
      </c>
      <c r="E98" s="566">
        <f t="shared" si="1"/>
        <v>17.867312348668282</v>
      </c>
      <c r="F98" s="571">
        <v>5.1624999999999996</v>
      </c>
      <c r="G98" s="522" t="s">
        <v>562</v>
      </c>
      <c r="H98" s="516"/>
      <c r="I98" s="572" t="s">
        <v>565</v>
      </c>
    </row>
    <row r="99" spans="2:9">
      <c r="B99" s="521"/>
      <c r="C99" s="516"/>
      <c r="D99" s="516"/>
      <c r="E99" s="566"/>
      <c r="F99" s="571"/>
      <c r="G99" s="522" t="s">
        <v>564</v>
      </c>
      <c r="H99" s="516"/>
      <c r="I99" s="523"/>
    </row>
    <row r="100" spans="2:9">
      <c r="B100" s="508" t="s">
        <v>520</v>
      </c>
      <c r="C100" s="509">
        <f>SUM(C92:C99)</f>
        <v>12248.099999999999</v>
      </c>
      <c r="D100" s="509">
        <f>SUM(D92:D99)</f>
        <v>1568.1000000000001</v>
      </c>
      <c r="E100" s="510"/>
      <c r="F100" s="510"/>
      <c r="G100" s="510"/>
      <c r="H100" s="527">
        <f>SUM(H92:H99)</f>
        <v>13723.96</v>
      </c>
      <c r="I100" s="511"/>
    </row>
    <row r="103" spans="2:9" ht="25.5">
      <c r="B103" s="512" t="s">
        <v>508</v>
      </c>
      <c r="C103" s="513" t="s">
        <v>465</v>
      </c>
      <c r="D103" s="513" t="s">
        <v>503</v>
      </c>
      <c r="E103" s="513" t="s">
        <v>505</v>
      </c>
      <c r="F103" s="513" t="s">
        <v>504</v>
      </c>
      <c r="G103" s="513" t="s">
        <v>502</v>
      </c>
      <c r="H103" s="513" t="s">
        <v>506</v>
      </c>
      <c r="I103" s="514" t="s">
        <v>507</v>
      </c>
    </row>
    <row r="104" spans="2:9">
      <c r="B104" s="499">
        <v>40177</v>
      </c>
      <c r="C104" s="500">
        <v>7830.47</v>
      </c>
      <c r="D104" s="500"/>
      <c r="E104" s="517">
        <f>+IF(F104=0,0,(C104+D104)/F104)</f>
        <v>156.96004874890505</v>
      </c>
      <c r="F104" s="571">
        <v>49.888300000000001</v>
      </c>
      <c r="G104" s="522" t="s">
        <v>563</v>
      </c>
      <c r="H104" s="516">
        <f t="shared" ref="H104:H105" si="3">+E104*F104</f>
        <v>7830.47</v>
      </c>
      <c r="I104" s="572" t="s">
        <v>565</v>
      </c>
    </row>
    <row r="105" spans="2:9">
      <c r="B105" s="521">
        <v>40274</v>
      </c>
      <c r="C105" s="516">
        <v>412.13</v>
      </c>
      <c r="D105" s="516"/>
      <c r="E105" s="566">
        <f t="shared" ref="E105:E106" si="4">+IF(F105=0,0,(C105+D105)/F105)</f>
        <v>126.99288201398947</v>
      </c>
      <c r="F105" s="571">
        <v>3.2452999999999999</v>
      </c>
      <c r="G105" s="522" t="s">
        <v>564</v>
      </c>
      <c r="H105" s="516">
        <f t="shared" si="3"/>
        <v>412.13</v>
      </c>
      <c r="I105" s="572" t="s">
        <v>565</v>
      </c>
    </row>
    <row r="106" spans="2:9">
      <c r="B106" s="521">
        <v>40175</v>
      </c>
      <c r="C106" s="516"/>
      <c r="D106" s="516"/>
      <c r="E106" s="566">
        <f t="shared" si="4"/>
        <v>0</v>
      </c>
      <c r="F106" s="571"/>
      <c r="G106" s="522" t="s">
        <v>562</v>
      </c>
      <c r="H106" s="516"/>
      <c r="I106" s="572" t="s">
        <v>565</v>
      </c>
    </row>
    <row r="107" spans="2:9">
      <c r="B107" s="521"/>
      <c r="C107" s="516"/>
      <c r="D107" s="516"/>
      <c r="E107" s="566"/>
      <c r="F107" s="571"/>
      <c r="G107" s="522" t="s">
        <v>564</v>
      </c>
      <c r="H107" s="516"/>
      <c r="I107" s="523"/>
    </row>
    <row r="108" spans="2:9">
      <c r="B108" s="508" t="s">
        <v>566</v>
      </c>
      <c r="C108" s="509">
        <f>SUM(C104:C107)</f>
        <v>8242.6</v>
      </c>
      <c r="D108" s="509"/>
      <c r="E108" s="510"/>
      <c r="F108" s="510"/>
      <c r="G108" s="510"/>
      <c r="H108" s="527">
        <f>SUM(H104:H107)</f>
        <v>8242.6</v>
      </c>
      <c r="I108" s="511"/>
    </row>
    <row r="113" spans="2:8">
      <c r="B113" s="472" t="s">
        <v>524</v>
      </c>
    </row>
    <row r="114" spans="2:8">
      <c r="B114" s="538">
        <v>40275</v>
      </c>
      <c r="C114" s="472" t="s">
        <v>567</v>
      </c>
      <c r="D114" s="644" t="s">
        <v>660</v>
      </c>
    </row>
    <row r="115" spans="2:8" ht="25.5">
      <c r="C115" s="512" t="s">
        <v>465</v>
      </c>
      <c r="D115" s="513" t="s">
        <v>503</v>
      </c>
      <c r="E115" s="539" t="s">
        <v>505</v>
      </c>
      <c r="F115" s="513" t="s">
        <v>504</v>
      </c>
      <c r="G115" s="513" t="s">
        <v>502</v>
      </c>
      <c r="H115" s="514" t="s">
        <v>506</v>
      </c>
    </row>
    <row r="116" spans="2:8">
      <c r="C116" s="540">
        <f t="shared" ref="C116:D118" si="5">SUMIF($G$92:$G$107,$G116,C$92:C$108)</f>
        <v>19894.61</v>
      </c>
      <c r="D116" s="541">
        <f t="shared" si="5"/>
        <v>1411.21</v>
      </c>
      <c r="E116" s="529">
        <v>26.449259999999999</v>
      </c>
      <c r="F116" s="573">
        <f>SUMIF($G$92:$G$107,$G116,F$92:F$108)</f>
        <v>141.79089999999999</v>
      </c>
      <c r="G116" s="502" t="s">
        <v>563</v>
      </c>
      <c r="H116" s="542">
        <f>SUMIF($G$92:$G$107,$G116,H$92:H$108)</f>
        <v>21305.82</v>
      </c>
    </row>
    <row r="117" spans="2:8">
      <c r="C117" s="534">
        <f t="shared" si="5"/>
        <v>596.09</v>
      </c>
      <c r="D117" s="535">
        <f t="shared" si="5"/>
        <v>64.650000000000006</v>
      </c>
      <c r="E117" s="531">
        <v>22.508620000000001</v>
      </c>
      <c r="F117" s="574">
        <f>SUMIF($G$92:$G$107,$G117,F$92:F$108)</f>
        <v>5.2375999999999996</v>
      </c>
      <c r="G117" s="522" t="s">
        <v>564</v>
      </c>
      <c r="H117" s="543">
        <f>SUMIF($G$92:$G$107,$G117,H$92:H$108)</f>
        <v>660.74</v>
      </c>
    </row>
    <row r="118" spans="2:8">
      <c r="C118" s="536">
        <f t="shared" si="5"/>
        <v>0</v>
      </c>
      <c r="D118" s="537">
        <f t="shared" si="5"/>
        <v>92.24</v>
      </c>
      <c r="E118" s="530">
        <v>16.523240000000001</v>
      </c>
      <c r="F118" s="575">
        <f>SUMIF($G$92:$G$107,$G118,F$92:F$108)</f>
        <v>5.1624999999999996</v>
      </c>
      <c r="G118" s="484" t="s">
        <v>562</v>
      </c>
      <c r="H118" s="544">
        <f>SUMIF($G$92:$G$107,$G118,H$92:H$108)</f>
        <v>0</v>
      </c>
    </row>
    <row r="119" spans="2:8">
      <c r="B119" s="533" t="s">
        <v>18</v>
      </c>
      <c r="C119" s="545">
        <f>SUM(C116:C118)</f>
        <v>20490.7</v>
      </c>
      <c r="D119" s="545">
        <f>SUM(D116:D118)</f>
        <v>1568.1000000000001</v>
      </c>
      <c r="E119" s="510"/>
      <c r="F119" s="510"/>
      <c r="G119" s="510"/>
      <c r="H119" s="546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2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591</v>
      </c>
    </row>
    <row r="3" spans="2:8" ht="18.75">
      <c r="F3" s="91"/>
    </row>
    <row r="5" spans="2:8">
      <c r="F5" s="589" t="s">
        <v>586</v>
      </c>
    </row>
    <row r="6" spans="2:8">
      <c r="F6" s="132" t="s">
        <v>587</v>
      </c>
      <c r="G6" s="590" t="s">
        <v>588</v>
      </c>
    </row>
    <row r="7" spans="2:8">
      <c r="F7" s="151" t="s">
        <v>589</v>
      </c>
      <c r="G7" s="591" t="s">
        <v>590</v>
      </c>
    </row>
    <row r="9" spans="2:8">
      <c r="B9" t="s">
        <v>569</v>
      </c>
      <c r="C9" t="s">
        <v>570</v>
      </c>
    </row>
    <row r="12" spans="2:8">
      <c r="C12" s="584" t="s">
        <v>571</v>
      </c>
      <c r="D12" s="585" t="s">
        <v>3</v>
      </c>
      <c r="E12" s="585" t="s">
        <v>577</v>
      </c>
      <c r="F12" s="585" t="s">
        <v>573</v>
      </c>
      <c r="G12" s="585"/>
      <c r="H12" s="586"/>
    </row>
    <row r="13" spans="2:8">
      <c r="C13" s="587" t="s">
        <v>580</v>
      </c>
      <c r="D13" s="592">
        <v>17669.490000000002</v>
      </c>
      <c r="E13" s="588" t="s">
        <v>572</v>
      </c>
      <c r="F13" s="588" t="s">
        <v>574</v>
      </c>
      <c r="G13" s="588" t="s">
        <v>583</v>
      </c>
      <c r="H13" s="593"/>
    </row>
    <row r="15" spans="2:8">
      <c r="C15" t="s">
        <v>576</v>
      </c>
    </row>
    <row r="16" spans="2:8">
      <c r="C16" t="s">
        <v>585</v>
      </c>
    </row>
    <row r="19" spans="2:8">
      <c r="B19" t="s">
        <v>578</v>
      </c>
      <c r="C19" t="s">
        <v>579</v>
      </c>
    </row>
    <row r="21" spans="2:8">
      <c r="C21" s="583"/>
    </row>
    <row r="23" spans="2:8">
      <c r="C23" s="584" t="s">
        <v>571</v>
      </c>
      <c r="D23" s="585" t="s">
        <v>3</v>
      </c>
      <c r="E23" s="585" t="s">
        <v>577</v>
      </c>
      <c r="F23" s="585" t="s">
        <v>573</v>
      </c>
      <c r="G23" s="585"/>
      <c r="H23" s="586"/>
    </row>
    <row r="24" spans="2:8">
      <c r="C24" s="587" t="s">
        <v>580</v>
      </c>
      <c r="D24" s="592">
        <v>45248.74</v>
      </c>
      <c r="E24" s="588" t="s">
        <v>581</v>
      </c>
      <c r="F24" s="588" t="s">
        <v>582</v>
      </c>
      <c r="G24" s="588" t="s">
        <v>575</v>
      </c>
      <c r="H24" s="593"/>
    </row>
    <row r="26" spans="2:8">
      <c r="C26" t="s">
        <v>584</v>
      </c>
    </row>
  </sheetData>
  <phoneticPr fontId="22" type="noConversion"/>
  <pageMargins left="0.78740157499999996" right="0.78740157499999996" top="0.984251969" bottom="0.984251969" header="0" footer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topLeftCell="A23" zoomScaleNormal="100" zoomScaleSheetLayoutView="100" workbookViewId="0">
      <selection activeCell="I31" sqref="I31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98</v>
      </c>
      <c r="C1" s="91"/>
      <c r="D1" s="91"/>
      <c r="E1" s="91"/>
      <c r="F1" s="91"/>
    </row>
    <row r="2" spans="2:8">
      <c r="B2" s="582">
        <v>40247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52</v>
      </c>
      <c r="C4" s="98"/>
      <c r="D4" s="25" t="s">
        <v>53</v>
      </c>
      <c r="E4" s="98"/>
      <c r="G4" s="278"/>
      <c r="H4" s="278"/>
    </row>
    <row r="5" spans="2:8">
      <c r="B5" s="92" t="s">
        <v>433</v>
      </c>
      <c r="C5" s="93">
        <v>518925.60132016736</v>
      </c>
      <c r="D5" s="92" t="s">
        <v>193</v>
      </c>
      <c r="E5" s="93">
        <v>184708.93536554399</v>
      </c>
      <c r="G5" s="278"/>
      <c r="H5" s="278"/>
    </row>
    <row r="6" spans="2:8">
      <c r="B6" s="99" t="s">
        <v>606</v>
      </c>
      <c r="C6" s="6">
        <v>274473.82000000007</v>
      </c>
      <c r="D6" s="99"/>
      <c r="E6" s="94"/>
      <c r="G6" s="278"/>
      <c r="H6" s="278"/>
    </row>
    <row r="7" spans="2:8">
      <c r="B7" s="99" t="s">
        <v>607</v>
      </c>
      <c r="C7" s="12">
        <v>34019.5</v>
      </c>
      <c r="D7" s="99" t="s">
        <v>313</v>
      </c>
      <c r="E7" s="6">
        <v>-0.32400000000006912</v>
      </c>
      <c r="G7" s="278"/>
      <c r="H7" s="278"/>
    </row>
    <row r="8" spans="2:8">
      <c r="B8" s="99" t="s">
        <v>209</v>
      </c>
      <c r="C8" s="312">
        <v>30000</v>
      </c>
      <c r="D8" s="414" t="s">
        <v>424</v>
      </c>
      <c r="E8" s="445">
        <v>12119.12172000001</v>
      </c>
      <c r="G8" s="278"/>
      <c r="H8" s="278"/>
    </row>
    <row r="9" spans="2:8">
      <c r="B9" s="110" t="s">
        <v>239</v>
      </c>
      <c r="C9" s="312">
        <v>0</v>
      </c>
      <c r="D9" s="414" t="s">
        <v>603</v>
      </c>
      <c r="E9" s="445">
        <v>137128.63764554399</v>
      </c>
      <c r="G9" s="278"/>
      <c r="H9" s="278"/>
    </row>
    <row r="10" spans="2:8">
      <c r="B10" s="110" t="s">
        <v>278</v>
      </c>
      <c r="C10" s="6">
        <v>28469</v>
      </c>
      <c r="D10" s="99" t="s">
        <v>283</v>
      </c>
      <c r="E10" s="6">
        <v>28469</v>
      </c>
      <c r="G10" s="278"/>
      <c r="H10" s="278"/>
    </row>
    <row r="11" spans="2:8">
      <c r="B11" s="110" t="s">
        <v>308</v>
      </c>
      <c r="C11" s="6">
        <v>0</v>
      </c>
      <c r="D11" s="99" t="s">
        <v>376</v>
      </c>
      <c r="E11" s="6">
        <v>6992.5</v>
      </c>
      <c r="G11" s="278"/>
      <c r="H11" s="278"/>
    </row>
    <row r="12" spans="2:8">
      <c r="B12" s="110" t="s">
        <v>309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310</v>
      </c>
      <c r="C13" s="6">
        <v>5982.5806451612898</v>
      </c>
      <c r="D13" s="4"/>
      <c r="E13" s="6"/>
      <c r="G13" s="278"/>
      <c r="H13" s="278"/>
    </row>
    <row r="14" spans="2:8" ht="12.6" customHeight="1">
      <c r="B14" s="110" t="s">
        <v>311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312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405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546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461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55</v>
      </c>
      <c r="C20" s="269">
        <v>317250</v>
      </c>
      <c r="D20" s="92"/>
      <c r="E20" s="95"/>
      <c r="H20" s="5"/>
    </row>
    <row r="21" spans="2:8">
      <c r="B21" s="99" t="s">
        <v>432</v>
      </c>
      <c r="C21" s="94">
        <v>261000</v>
      </c>
      <c r="D21" s="99" t="s">
        <v>57</v>
      </c>
      <c r="E21" s="94">
        <v>133000</v>
      </c>
    </row>
    <row r="22" spans="2:8">
      <c r="B22" s="99" t="s">
        <v>340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183</v>
      </c>
      <c r="C24" s="95">
        <v>742024</v>
      </c>
      <c r="D24" s="92" t="s">
        <v>194</v>
      </c>
      <c r="E24" s="95">
        <v>43100</v>
      </c>
    </row>
    <row r="25" spans="2:8">
      <c r="B25" s="99" t="s">
        <v>54</v>
      </c>
      <c r="C25" s="94">
        <v>0</v>
      </c>
      <c r="D25" s="99"/>
      <c r="E25" s="6"/>
    </row>
    <row r="26" spans="2:8">
      <c r="B26" s="99" t="s">
        <v>58</v>
      </c>
      <c r="C26" s="94">
        <v>6200</v>
      </c>
      <c r="D26" s="99" t="s">
        <v>665</v>
      </c>
      <c r="E26" s="94">
        <v>2000</v>
      </c>
    </row>
    <row r="27" spans="2:8">
      <c r="B27" s="99" t="s">
        <v>59</v>
      </c>
      <c r="C27" s="94">
        <v>1000</v>
      </c>
      <c r="D27" s="99" t="s">
        <v>372</v>
      </c>
      <c r="E27" s="94">
        <v>0</v>
      </c>
    </row>
    <row r="28" spans="2:8">
      <c r="B28" s="99" t="s">
        <v>60</v>
      </c>
      <c r="C28" s="94">
        <v>0</v>
      </c>
      <c r="D28" s="99" t="s">
        <v>464</v>
      </c>
      <c r="E28" s="277">
        <v>0</v>
      </c>
    </row>
    <row r="29" spans="2:8">
      <c r="B29" s="99" t="s">
        <v>634</v>
      </c>
      <c r="C29" s="94">
        <v>28700</v>
      </c>
      <c r="D29" s="99" t="s">
        <v>614</v>
      </c>
      <c r="E29" s="94">
        <v>0</v>
      </c>
    </row>
    <row r="30" spans="2:8">
      <c r="B30" s="99" t="s">
        <v>632</v>
      </c>
      <c r="C30" s="94">
        <v>139700</v>
      </c>
      <c r="D30" s="99" t="s">
        <v>197</v>
      </c>
      <c r="E30" s="94">
        <v>500</v>
      </c>
    </row>
    <row r="31" spans="2:8">
      <c r="B31" s="99" t="s">
        <v>327</v>
      </c>
      <c r="C31" s="94">
        <v>95000</v>
      </c>
      <c r="D31" s="99" t="s">
        <v>289</v>
      </c>
      <c r="E31" s="94">
        <v>600</v>
      </c>
    </row>
    <row r="32" spans="2:8">
      <c r="B32" s="99" t="s">
        <v>633</v>
      </c>
      <c r="C32" s="94">
        <v>470000</v>
      </c>
      <c r="D32" s="99" t="s">
        <v>158</v>
      </c>
      <c r="E32" s="94">
        <v>1000</v>
      </c>
    </row>
    <row r="33" spans="2:7">
      <c r="B33" s="110" t="s">
        <v>635</v>
      </c>
      <c r="C33" s="94">
        <v>1424</v>
      </c>
      <c r="D33" s="99" t="s">
        <v>641</v>
      </c>
      <c r="E33" s="94">
        <v>25000</v>
      </c>
    </row>
    <row r="34" spans="2:7">
      <c r="B34" s="110"/>
      <c r="C34" s="94"/>
      <c r="D34" s="99" t="s">
        <v>642</v>
      </c>
      <c r="E34" s="94">
        <v>14000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1578199.6013201673</v>
      </c>
      <c r="D36" s="101" t="s">
        <v>18</v>
      </c>
      <c r="E36" s="13">
        <v>360808.93536554399</v>
      </c>
    </row>
    <row r="37" spans="2:7">
      <c r="B37" s="102"/>
      <c r="D37" s="197" t="s">
        <v>184</v>
      </c>
      <c r="E37" s="246">
        <v>1217390.6659546234</v>
      </c>
      <c r="F37" s="12">
        <v>203194429.70813078</v>
      </c>
      <c r="G37" s="12" t="s">
        <v>84</v>
      </c>
    </row>
    <row r="38" spans="2:7">
      <c r="B38" s="102"/>
      <c r="D38" s="197" t="s">
        <v>431</v>
      </c>
      <c r="E38" s="246">
        <v>1170621.4652796173</v>
      </c>
      <c r="F38" s="212" t="s">
        <v>602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K7" sqref="K7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247</v>
      </c>
      <c r="D2" s="111"/>
      <c r="E2" s="111"/>
      <c r="F2" s="111"/>
    </row>
    <row r="3" spans="2:6" s="1" customFormat="1">
      <c r="D3" s="1" t="s">
        <v>245</v>
      </c>
    </row>
    <row r="5" spans="2:6">
      <c r="B5" s="317" t="s">
        <v>248</v>
      </c>
      <c r="C5" s="318">
        <v>38954</v>
      </c>
      <c r="D5" s="319">
        <f>SUM(D6:D10)</f>
        <v>293957</v>
      </c>
    </row>
    <row r="6" spans="2:6">
      <c r="B6" s="320" t="s">
        <v>244</v>
      </c>
      <c r="C6" s="321"/>
      <c r="D6" s="322">
        <v>254170</v>
      </c>
    </row>
    <row r="7" spans="2:6">
      <c r="B7" s="320" t="s">
        <v>249</v>
      </c>
      <c r="C7" s="321"/>
      <c r="D7" s="322">
        <v>6830</v>
      </c>
    </row>
    <row r="8" spans="2:6">
      <c r="B8" s="320" t="s">
        <v>250</v>
      </c>
      <c r="C8" s="321"/>
      <c r="D8" s="322">
        <v>16900</v>
      </c>
    </row>
    <row r="9" spans="2:6">
      <c r="B9" s="320" t="s">
        <v>251</v>
      </c>
      <c r="C9" s="321"/>
      <c r="D9" s="322">
        <v>12500</v>
      </c>
    </row>
    <row r="10" spans="2:6">
      <c r="B10" s="323" t="s">
        <v>252</v>
      </c>
      <c r="C10" s="324"/>
      <c r="D10" s="325">
        <f>1517+2000+40</f>
        <v>3557</v>
      </c>
      <c r="E10" s="252" t="s">
        <v>253</v>
      </c>
    </row>
    <row r="11" spans="2:6">
      <c r="B11" s="317" t="s">
        <v>254</v>
      </c>
      <c r="C11" s="318">
        <v>39015</v>
      </c>
      <c r="D11" s="319">
        <f>SUM(D12:D16)</f>
        <v>18000</v>
      </c>
    </row>
    <row r="12" spans="2:6">
      <c r="B12" s="320" t="s">
        <v>255</v>
      </c>
      <c r="C12" s="321"/>
      <c r="D12" s="322">
        <v>9000</v>
      </c>
      <c r="E12" s="252" t="s">
        <v>259</v>
      </c>
    </row>
    <row r="13" spans="2:6">
      <c r="B13" s="320" t="s">
        <v>246</v>
      </c>
      <c r="C13" s="321"/>
      <c r="D13" s="322">
        <v>5000</v>
      </c>
      <c r="E13" s="252" t="s">
        <v>259</v>
      </c>
    </row>
    <row r="14" spans="2:6">
      <c r="B14" s="320" t="s">
        <v>256</v>
      </c>
      <c r="C14" s="321"/>
      <c r="D14" s="322">
        <v>4000</v>
      </c>
      <c r="E14" s="252" t="s">
        <v>259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266</v>
      </c>
      <c r="D19" s="332" t="s">
        <v>267</v>
      </c>
      <c r="E19" s="333" t="s">
        <v>268</v>
      </c>
    </row>
    <row r="20" spans="2:5">
      <c r="B20" s="337" t="s">
        <v>255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275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257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258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269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270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271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272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273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274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290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291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292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293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294</v>
      </c>
      <c r="C34" s="343"/>
      <c r="D34" s="336"/>
      <c r="E34" s="322">
        <f t="shared" si="0"/>
        <v>0</v>
      </c>
    </row>
    <row r="35" spans="2:5">
      <c r="B35" s="335" t="s">
        <v>295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266</v>
      </c>
      <c r="D40" s="332" t="s">
        <v>267</v>
      </c>
      <c r="E40" s="333" t="s">
        <v>268</v>
      </c>
    </row>
    <row r="41" spans="2:5">
      <c r="B41" s="337" t="s">
        <v>296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260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261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265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262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263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264</v>
      </c>
      <c r="C47" s="343"/>
      <c r="D47" s="336"/>
      <c r="E47" s="322">
        <f t="shared" si="1"/>
        <v>0</v>
      </c>
    </row>
    <row r="48" spans="2:5">
      <c r="B48" s="335" t="s">
        <v>616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266</v>
      </c>
      <c r="D55" s="332" t="s">
        <v>267</v>
      </c>
      <c r="E55" s="333" t="s">
        <v>268</v>
      </c>
    </row>
    <row r="56" spans="2:5">
      <c r="B56" s="337" t="s">
        <v>297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287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288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79</v>
      </c>
      <c r="C2" s="111"/>
      <c r="D2" s="111"/>
      <c r="E2" s="111"/>
      <c r="F2" s="111"/>
      <c r="G2" s="111"/>
    </row>
    <row r="4" spans="2:7">
      <c r="F4" s="112" t="s">
        <v>80</v>
      </c>
      <c r="G4" s="113"/>
    </row>
    <row r="5" spans="2:7">
      <c r="B5" s="114" t="s">
        <v>81</v>
      </c>
      <c r="C5" s="115" t="s">
        <v>3</v>
      </c>
      <c r="D5" s="116"/>
      <c r="E5" s="117" t="s">
        <v>82</v>
      </c>
      <c r="F5" s="38" t="s">
        <v>83</v>
      </c>
      <c r="G5" s="48" t="s">
        <v>84</v>
      </c>
    </row>
    <row r="6" spans="2:7">
      <c r="B6" s="108" t="s">
        <v>85</v>
      </c>
      <c r="C6" s="118">
        <v>6010</v>
      </c>
      <c r="D6" s="62"/>
      <c r="E6" s="119" t="s">
        <v>162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56</v>
      </c>
      <c r="C7" s="121">
        <v>204344</v>
      </c>
      <c r="D7" s="59"/>
      <c r="E7" s="122" t="s">
        <v>86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87</v>
      </c>
      <c r="E8" s="3" t="s">
        <v>88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76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89</v>
      </c>
      <c r="E10" s="127" t="s">
        <v>90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91</v>
      </c>
      <c r="D15" s="62"/>
      <c r="E15" s="109" t="s">
        <v>92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130</v>
      </c>
      <c r="F19" s="149">
        <f>+F33</f>
        <v>7572.3174755544287</v>
      </c>
    </row>
    <row r="20" spans="3:6">
      <c r="C20" s="107"/>
      <c r="D20" s="34"/>
      <c r="E20" s="3" t="s">
        <v>77</v>
      </c>
      <c r="F20" s="149">
        <v>3000</v>
      </c>
    </row>
    <row r="21" spans="3:6">
      <c r="D21" s="2"/>
      <c r="E21" s="3" t="s">
        <v>96</v>
      </c>
      <c r="F21" s="32">
        <f>+'G. Chaves'!D9</f>
        <v>2262.6</v>
      </c>
    </row>
    <row r="22" spans="3:6">
      <c r="D22" s="9"/>
      <c r="E22" s="127" t="s">
        <v>78</v>
      </c>
      <c r="F22" s="33">
        <f>+'G. Chaves'!D23-'G. Chaves'!D9</f>
        <v>4233.8963409181069</v>
      </c>
    </row>
    <row r="23" spans="3:6">
      <c r="D23" s="108" t="s">
        <v>93</v>
      </c>
      <c r="E23" s="119"/>
      <c r="F23" s="66">
        <f>+F17-F18</f>
        <v>193285.18618352746</v>
      </c>
    </row>
    <row r="24" spans="3:6">
      <c r="D24" s="2" t="s">
        <v>95</v>
      </c>
      <c r="E24" s="3"/>
      <c r="F24" s="32">
        <f>+F8</f>
        <v>43596.33</v>
      </c>
    </row>
    <row r="25" spans="3:6">
      <c r="D25" s="108" t="s">
        <v>94</v>
      </c>
      <c r="E25" s="119"/>
      <c r="F25" s="66">
        <f>+F23-F24</f>
        <v>149688.85618352744</v>
      </c>
    </row>
    <row r="27" spans="3:6">
      <c r="D27" s="120" t="s">
        <v>116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93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126</v>
      </c>
      <c r="F32" s="11">
        <f>+F30-F31</f>
        <v>42068.43041974683</v>
      </c>
    </row>
    <row r="33" spans="3:6">
      <c r="C33" s="146">
        <v>0.18</v>
      </c>
      <c r="D33" s="9"/>
      <c r="E33" s="127" t="s">
        <v>129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17" sqref="K17"/>
    </sheetView>
  </sheetViews>
  <sheetFormatPr baseColWidth="10" defaultRowHeight="12.75"/>
  <cols>
    <col min="5" max="5" width="6" customWidth="1"/>
  </cols>
  <sheetData>
    <row r="1" spans="1:9">
      <c r="A1" t="s">
        <v>127</v>
      </c>
    </row>
    <row r="3" spans="1:9">
      <c r="C3" s="129">
        <v>2002</v>
      </c>
      <c r="D3" s="153">
        <v>2003</v>
      </c>
    </row>
    <row r="4" spans="1:9">
      <c r="A4" s="132" t="s">
        <v>101</v>
      </c>
      <c r="B4" s="134" t="s">
        <v>102</v>
      </c>
      <c r="C4" s="166"/>
      <c r="D4" s="164">
        <v>77.05</v>
      </c>
    </row>
    <row r="5" spans="1:9">
      <c r="A5" s="150"/>
      <c r="B5" s="138" t="s">
        <v>103</v>
      </c>
      <c r="C5" s="166"/>
      <c r="D5" s="164">
        <v>95.82</v>
      </c>
    </row>
    <row r="6" spans="1:9">
      <c r="A6" s="150" t="s">
        <v>104</v>
      </c>
      <c r="B6" s="138"/>
      <c r="C6" s="166"/>
      <c r="D6" s="164">
        <f>27.17+19.47+27.17+26.24+12.19</f>
        <v>112.24</v>
      </c>
    </row>
    <row r="7" spans="1:9">
      <c r="A7" s="150" t="s">
        <v>105</v>
      </c>
      <c r="B7" s="138"/>
      <c r="C7" s="166"/>
      <c r="D7" s="164">
        <f>62.13*4</f>
        <v>248.52</v>
      </c>
    </row>
    <row r="8" spans="1:9">
      <c r="A8" s="150" t="s">
        <v>106</v>
      </c>
      <c r="B8" s="138"/>
      <c r="C8" s="166">
        <f>107.8+120.94+116.25</f>
        <v>344.99</v>
      </c>
      <c r="D8" s="164"/>
    </row>
    <row r="9" spans="1:9">
      <c r="A9" s="150" t="s">
        <v>107</v>
      </c>
      <c r="B9" s="138"/>
      <c r="C9" s="166"/>
      <c r="D9" s="164">
        <v>2262.6</v>
      </c>
    </row>
    <row r="10" spans="1:9">
      <c r="A10" s="151" t="s">
        <v>108</v>
      </c>
      <c r="B10" s="152"/>
      <c r="C10" s="167"/>
      <c r="D10" s="165">
        <v>112.67</v>
      </c>
      <c r="F10" s="154" t="s">
        <v>110</v>
      </c>
      <c r="G10" s="155" t="s">
        <v>111</v>
      </c>
      <c r="H10" s="155" t="s">
        <v>112</v>
      </c>
      <c r="I10" s="156" t="s">
        <v>115</v>
      </c>
    </row>
    <row r="11" spans="1:9">
      <c r="A11" s="150" t="s">
        <v>109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113</v>
      </c>
    </row>
    <row r="21" spans="1:9">
      <c r="A21" s="150">
        <v>5</v>
      </c>
      <c r="B21" s="138" t="s">
        <v>114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144</v>
      </c>
    </row>
    <row r="27" spans="1:9">
      <c r="A27" t="s">
        <v>128</v>
      </c>
    </row>
    <row r="28" spans="1:9">
      <c r="B28" s="132" t="s">
        <v>125</v>
      </c>
      <c r="C28" s="133"/>
      <c r="D28" s="133"/>
      <c r="E28" s="133"/>
      <c r="F28" s="133"/>
      <c r="G28" s="134"/>
    </row>
    <row r="29" spans="1:9" ht="15.75">
      <c r="B29" s="135" t="s">
        <v>117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121</v>
      </c>
      <c r="C30" s="136"/>
      <c r="D30" s="139"/>
      <c r="E30" s="136"/>
      <c r="F30" s="137"/>
      <c r="G30" s="138"/>
    </row>
    <row r="31" spans="1:9" ht="15.75">
      <c r="B31" s="135" t="s">
        <v>122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118</v>
      </c>
      <c r="C32" s="136"/>
      <c r="D32" s="139"/>
      <c r="E32" s="136"/>
      <c r="F32" s="137">
        <v>726618</v>
      </c>
      <c r="G32" s="138"/>
    </row>
    <row r="33" spans="2:7" ht="15.75">
      <c r="B33" s="135" t="s">
        <v>119</v>
      </c>
      <c r="C33" s="136"/>
      <c r="D33" s="139"/>
      <c r="E33" s="136"/>
      <c r="F33" s="145">
        <v>0</v>
      </c>
      <c r="G33" s="138"/>
    </row>
    <row r="34" spans="2:7" ht="15.75">
      <c r="B34" s="135" t="s">
        <v>123</v>
      </c>
      <c r="C34" s="136"/>
      <c r="D34" s="139"/>
      <c r="E34" s="136"/>
      <c r="F34" s="137"/>
      <c r="G34" s="138"/>
    </row>
    <row r="35" spans="2:7" ht="15.75">
      <c r="B35" s="135" t="s">
        <v>124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120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269"/>
  <sheetViews>
    <sheetView showGridLines="0" topLeftCell="A15" zoomScaleNormal="100" workbookViewId="0">
      <selection activeCell="S31" sqref="S31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5" t="s">
        <v>63</v>
      </c>
    </row>
    <row r="5" spans="1:13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65</v>
      </c>
      <c r="L5" s="50"/>
      <c r="M5" s="50"/>
    </row>
    <row r="6" spans="1:13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143</v>
      </c>
      <c r="M6" s="43" t="s">
        <v>7</v>
      </c>
    </row>
    <row r="7" spans="1:13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</row>
    <row r="8" spans="1:13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VLOOKUP(C8,$B$40:$D$54,3,0)*F8</f>
        <v>28.25</v>
      </c>
      <c r="L8" s="60">
        <f t="shared" ref="L8:L14" si="2">+K8-I8</f>
        <v>28.25</v>
      </c>
      <c r="M8" s="61"/>
    </row>
    <row r="9" spans="1:13">
      <c r="B9" s="52" t="s">
        <v>9</v>
      </c>
      <c r="C9" s="233" t="s">
        <v>175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3">+I9/F9</f>
        <v>0</v>
      </c>
      <c r="K9" s="34">
        <f t="shared" si="1"/>
        <v>21</v>
      </c>
      <c r="L9" s="5">
        <f t="shared" si="2"/>
        <v>21</v>
      </c>
      <c r="M9" s="7"/>
    </row>
    <row r="10" spans="1:13">
      <c r="A10" s="1" t="s">
        <v>185</v>
      </c>
      <c r="B10" s="52" t="s">
        <v>9</v>
      </c>
      <c r="C10" s="233" t="s">
        <v>28</v>
      </c>
      <c r="D10" s="53" t="s">
        <v>188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3"/>
        <v>8.2095890410958905</v>
      </c>
      <c r="K10" s="34">
        <f t="shared" si="1"/>
        <v>7263.4999999999991</v>
      </c>
      <c r="L10" s="5">
        <f t="shared" si="2"/>
        <v>1270.4999999999991</v>
      </c>
      <c r="M10" s="7">
        <f t="shared" ref="M10:M17" si="4">+K10/I10-1</f>
        <v>0.21199733021858824</v>
      </c>
    </row>
    <row r="11" spans="1:13">
      <c r="B11" s="52" t="s">
        <v>9</v>
      </c>
      <c r="C11" s="233" t="s">
        <v>315</v>
      </c>
      <c r="D11" s="53" t="s">
        <v>11</v>
      </c>
      <c r="E11" s="76">
        <v>39444</v>
      </c>
      <c r="F11" s="55">
        <v>20000</v>
      </c>
      <c r="G11" s="83">
        <v>0.3</v>
      </c>
      <c r="H11" s="229">
        <f>12.55/20000</f>
        <v>6.2750000000000002E-4</v>
      </c>
      <c r="I11" s="30">
        <f t="shared" si="0"/>
        <v>6012.55</v>
      </c>
      <c r="J11" s="32">
        <f t="shared" si="3"/>
        <v>0.30062749999999999</v>
      </c>
      <c r="K11" s="34">
        <f t="shared" si="1"/>
        <v>5320</v>
      </c>
      <c r="L11" s="5">
        <f t="shared" si="2"/>
        <v>-692.55000000000018</v>
      </c>
      <c r="M11" s="7">
        <f t="shared" si="4"/>
        <v>-0.1151840733133197</v>
      </c>
    </row>
    <row r="12" spans="1:13">
      <c r="B12" s="52" t="s">
        <v>9</v>
      </c>
      <c r="C12" s="233" t="s">
        <v>356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3"/>
        <v>31.3</v>
      </c>
      <c r="K12" s="34">
        <f t="shared" si="1"/>
        <v>24948</v>
      </c>
      <c r="L12" s="5">
        <f t="shared" si="2"/>
        <v>-92</v>
      </c>
      <c r="M12" s="7">
        <f t="shared" si="4"/>
        <v>-3.674121405750852E-3</v>
      </c>
    </row>
    <row r="13" spans="1:13">
      <c r="B13" s="52" t="s">
        <v>9</v>
      </c>
      <c r="C13" s="233" t="s">
        <v>462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3"/>
        <v>2.0034624999999999</v>
      </c>
      <c r="K13" s="34">
        <f t="shared" si="1"/>
        <v>6960</v>
      </c>
      <c r="L13" s="5">
        <f t="shared" si="2"/>
        <v>-1053.8499999999995</v>
      </c>
      <c r="M13" s="7">
        <f t="shared" si="4"/>
        <v>-0.13150358441947374</v>
      </c>
    </row>
    <row r="14" spans="1:13">
      <c r="B14" s="52" t="s">
        <v>9</v>
      </c>
      <c r="C14" s="233" t="s">
        <v>529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3"/>
        <v>13.7705</v>
      </c>
      <c r="K14" s="34">
        <f t="shared" si="1"/>
        <v>18615</v>
      </c>
      <c r="L14" s="5">
        <f t="shared" si="2"/>
        <v>-2040.75</v>
      </c>
      <c r="M14" s="7">
        <f t="shared" si="4"/>
        <v>-9.879815547728843E-2</v>
      </c>
    </row>
    <row r="15" spans="1:13">
      <c r="B15" s="52" t="s">
        <v>9</v>
      </c>
      <c r="C15" s="233" t="s">
        <v>17</v>
      </c>
      <c r="D15" s="53" t="s">
        <v>11</v>
      </c>
      <c r="E15" s="76">
        <v>40213</v>
      </c>
      <c r="F15" s="55">
        <v>2150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5">+(G15+H15)*F15</f>
        <v>35770.594999999994</v>
      </c>
      <c r="J15" s="32">
        <f t="shared" ref="J15:J20" si="6">+I15/F15</f>
        <v>16.637486046511626</v>
      </c>
      <c r="K15" s="34">
        <f t="shared" si="1"/>
        <v>34765.500000000007</v>
      </c>
      <c r="L15" s="5">
        <f t="shared" ref="L15:L20" si="7">+K15-I15</f>
        <v>-1005.0949999999866</v>
      </c>
      <c r="M15" s="7">
        <f t="shared" si="4"/>
        <v>-2.8098358442178228E-2</v>
      </c>
    </row>
    <row r="16" spans="1:13">
      <c r="B16" s="52" t="s">
        <v>9</v>
      </c>
      <c r="C16" s="233" t="s">
        <v>404</v>
      </c>
      <c r="D16" s="53" t="s">
        <v>605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5"/>
        <v>5693.96</v>
      </c>
      <c r="J16" s="32">
        <f t="shared" si="6"/>
        <v>14.2349</v>
      </c>
      <c r="K16" s="34">
        <f t="shared" si="1"/>
        <v>6702</v>
      </c>
      <c r="L16" s="5">
        <f t="shared" si="7"/>
        <v>1008.04</v>
      </c>
      <c r="M16" s="7">
        <f t="shared" si="4"/>
        <v>0.17703671961165868</v>
      </c>
    </row>
    <row r="17" spans="1:19">
      <c r="B17" s="52" t="s">
        <v>9</v>
      </c>
      <c r="C17" s="233" t="s">
        <v>356</v>
      </c>
      <c r="D17" s="53" t="s">
        <v>605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5"/>
        <v>28852.000000000004</v>
      </c>
      <c r="J17" s="32">
        <f t="shared" si="6"/>
        <v>38.469333333333338</v>
      </c>
      <c r="K17" s="34">
        <f t="shared" si="1"/>
        <v>23388.75</v>
      </c>
      <c r="L17" s="5">
        <f t="shared" si="7"/>
        <v>-5463.2500000000036</v>
      </c>
      <c r="M17" s="7">
        <f t="shared" si="4"/>
        <v>-0.18935429086371836</v>
      </c>
    </row>
    <row r="18" spans="1:19">
      <c r="B18" s="52" t="s">
        <v>9</v>
      </c>
      <c r="C18" s="233" t="s">
        <v>604</v>
      </c>
      <c r="D18" s="53" t="s">
        <v>11</v>
      </c>
      <c r="E18" s="76">
        <v>40214</v>
      </c>
      <c r="F18" s="55">
        <v>3000</v>
      </c>
      <c r="G18" s="83">
        <v>9.4882866666666672</v>
      </c>
      <c r="H18" s="229">
        <f>28.83/3000</f>
        <v>9.6099999999999988E-3</v>
      </c>
      <c r="I18" s="30">
        <f t="shared" si="5"/>
        <v>28493.690000000002</v>
      </c>
      <c r="J18" s="32">
        <f t="shared" si="6"/>
        <v>9.4978966666666675</v>
      </c>
      <c r="K18" s="34">
        <f t="shared" si="1"/>
        <v>22110</v>
      </c>
      <c r="L18" s="5">
        <f t="shared" si="7"/>
        <v>-6383.6900000000023</v>
      </c>
      <c r="M18" s="7">
        <f t="shared" ref="M18:M23" si="8">+K18/I18-1</f>
        <v>-0.22403872576700323</v>
      </c>
    </row>
    <row r="19" spans="1:19">
      <c r="B19" s="52" t="s">
        <v>9</v>
      </c>
      <c r="C19" s="233" t="s">
        <v>529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5"/>
        <v>12984.6</v>
      </c>
      <c r="J19" s="32">
        <f t="shared" si="6"/>
        <v>12.9846</v>
      </c>
      <c r="K19" s="34">
        <f t="shared" ref="K19:K25" si="9">VLOOKUP(C19,$B$40:$D$54,3,0)*F19</f>
        <v>12410</v>
      </c>
      <c r="L19" s="5">
        <f t="shared" si="7"/>
        <v>-574.60000000000036</v>
      </c>
      <c r="M19" s="7">
        <f t="shared" si="8"/>
        <v>-4.4252422100026223E-2</v>
      </c>
    </row>
    <row r="20" spans="1:19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5"/>
        <v>25118.91</v>
      </c>
      <c r="J20" s="32">
        <f t="shared" si="6"/>
        <v>16.745940000000001</v>
      </c>
      <c r="K20" s="34">
        <f t="shared" si="9"/>
        <v>24255.000000000004</v>
      </c>
      <c r="L20" s="5">
        <f t="shared" si="7"/>
        <v>-863.90999999999622</v>
      </c>
      <c r="M20" s="7">
        <f t="shared" si="8"/>
        <v>-3.4392814019397977E-2</v>
      </c>
    </row>
    <row r="21" spans="1:19">
      <c r="B21" s="52" t="s">
        <v>9</v>
      </c>
      <c r="C21" s="233" t="s">
        <v>529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9"/>
        <v>18615</v>
      </c>
      <c r="L21" s="5">
        <f>+K21-I21</f>
        <v>-314.47000000000116</v>
      </c>
      <c r="M21" s="7">
        <f t="shared" si="8"/>
        <v>-1.6612720799895619E-2</v>
      </c>
    </row>
    <row r="22" spans="1:19">
      <c r="B22" s="52" t="s">
        <v>9</v>
      </c>
      <c r="C22" s="233" t="s">
        <v>529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9"/>
        <v>18615</v>
      </c>
      <c r="L22" s="5">
        <f>+K22-I22</f>
        <v>-311.17499999999927</v>
      </c>
      <c r="M22" s="7">
        <f t="shared" si="8"/>
        <v>-1.6441515520172367E-2</v>
      </c>
    </row>
    <row r="23" spans="1:19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9"/>
        <v>16170.000000000002</v>
      </c>
      <c r="L23" s="5">
        <f>+K23-I23</f>
        <v>570.01000000000204</v>
      </c>
      <c r="M23" s="7">
        <f t="shared" si="8"/>
        <v>3.6539125986619458E-2</v>
      </c>
    </row>
    <row r="24" spans="1:19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9"/>
        <v>32340.000000000004</v>
      </c>
      <c r="L24" s="5">
        <f>+K24-I24</f>
        <v>1612.7400000000016</v>
      </c>
      <c r="M24" s="7">
        <f t="shared" ref="M24:M28" si="10">+K24/I24-1</f>
        <v>5.2485643041390695E-2</v>
      </c>
    </row>
    <row r="25" spans="1:19">
      <c r="B25" s="52" t="s">
        <v>9</v>
      </c>
      <c r="C25" s="233" t="s">
        <v>28</v>
      </c>
      <c r="D25" s="53" t="s">
        <v>11</v>
      </c>
      <c r="E25" s="76">
        <v>40312</v>
      </c>
      <c r="F25" s="55">
        <v>1200</v>
      </c>
      <c r="G25" s="83">
        <f>+(522*8.355+678*8.357)/1200</f>
        <v>8.3561300000000003</v>
      </c>
      <c r="H25" s="229">
        <f>18.8/1200</f>
        <v>1.5666666666666666E-2</v>
      </c>
      <c r="I25" s="30">
        <f t="shared" ref="I25" si="11">+(G25+H25)*F25</f>
        <v>10046.155999999999</v>
      </c>
      <c r="J25" s="32">
        <f t="shared" ref="J25" si="12">+I25/F25</f>
        <v>8.3717966666666666</v>
      </c>
      <c r="K25" s="34">
        <f t="shared" si="9"/>
        <v>11940</v>
      </c>
      <c r="L25" s="5">
        <f t="shared" ref="L25" si="13">+K25-I25</f>
        <v>1893.844000000001</v>
      </c>
      <c r="M25" s="7">
        <f t="shared" si="10"/>
        <v>0.18851429342725723</v>
      </c>
    </row>
    <row r="26" spans="1:19">
      <c r="B26" s="52" t="s">
        <v>9</v>
      </c>
      <c r="C26" s="233" t="s">
        <v>529</v>
      </c>
      <c r="D26" s="53" t="s">
        <v>11</v>
      </c>
      <c r="E26" s="76">
        <v>40326</v>
      </c>
      <c r="F26" s="55">
        <v>1500</v>
      </c>
      <c r="G26" s="83">
        <v>11.85</v>
      </c>
      <c r="H26" s="229">
        <f>15.31/1500</f>
        <v>1.0206666666666668E-2</v>
      </c>
      <c r="I26" s="30">
        <f>+(G26+H26)*F26</f>
        <v>17790.310000000001</v>
      </c>
      <c r="J26" s="32">
        <f>+I26/F26</f>
        <v>11.860206666666668</v>
      </c>
      <c r="K26" s="34">
        <f t="shared" ref="K26:K28" si="14">VLOOKUP(C26,$B$40:$D$54,3,0)*F26</f>
        <v>18615</v>
      </c>
      <c r="L26" s="5">
        <f>+K26-I26</f>
        <v>824.68999999999869</v>
      </c>
      <c r="M26" s="7">
        <f t="shared" si="10"/>
        <v>4.6356134322560916E-2</v>
      </c>
    </row>
    <row r="27" spans="1:19">
      <c r="B27" s="52" t="s">
        <v>9</v>
      </c>
      <c r="C27" s="233" t="s">
        <v>356</v>
      </c>
      <c r="D27" s="53" t="s">
        <v>605</v>
      </c>
      <c r="E27" s="76">
        <v>40359</v>
      </c>
      <c r="F27" s="55">
        <v>900</v>
      </c>
      <c r="G27" s="83">
        <v>31.24</v>
      </c>
      <c r="H27" s="229">
        <f>+(280.16-111.5)/900</f>
        <v>0.18740000000000004</v>
      </c>
      <c r="I27" s="30">
        <f t="shared" ref="I27:I28" si="15">+(G27+H27)*F27</f>
        <v>28284.66</v>
      </c>
      <c r="J27" s="32">
        <f t="shared" ref="J27:J28" si="16">+I27/F27</f>
        <v>31.427399999999999</v>
      </c>
      <c r="K27" s="34">
        <f t="shared" si="14"/>
        <v>28066.5</v>
      </c>
      <c r="L27" s="5">
        <f t="shared" ref="L27:L28" si="17">+K27-I27</f>
        <v>-218.15999999999985</v>
      </c>
      <c r="M27" s="7">
        <f t="shared" si="10"/>
        <v>-7.7130147578228225E-3</v>
      </c>
    </row>
    <row r="28" spans="1:19">
      <c r="B28" s="52" t="s">
        <v>9</v>
      </c>
      <c r="C28" s="233" t="s">
        <v>687</v>
      </c>
      <c r="D28" s="53" t="s">
        <v>605</v>
      </c>
      <c r="E28" s="76">
        <v>40359</v>
      </c>
      <c r="F28" s="55">
        <v>500</v>
      </c>
      <c r="G28" s="83">
        <v>44.48</v>
      </c>
      <c r="H28" s="229">
        <f>+(373.44-224)/500</f>
        <v>0.29887999999999998</v>
      </c>
      <c r="I28" s="30">
        <f t="shared" si="15"/>
        <v>22389.439999999999</v>
      </c>
      <c r="J28" s="32">
        <f t="shared" si="16"/>
        <v>44.778880000000001</v>
      </c>
      <c r="K28" s="34">
        <f t="shared" si="14"/>
        <v>23987.5</v>
      </c>
      <c r="L28" s="5">
        <f t="shared" si="17"/>
        <v>1598.0600000000013</v>
      </c>
      <c r="M28" s="7">
        <f t="shared" si="10"/>
        <v>7.1375612788886267E-2</v>
      </c>
    </row>
    <row r="29" spans="1:19">
      <c r="B29" s="52"/>
      <c r="C29" s="233"/>
      <c r="D29" s="53"/>
      <c r="E29" s="76"/>
      <c r="F29" s="55"/>
      <c r="G29" s="83"/>
      <c r="H29" s="229"/>
      <c r="I29" s="30"/>
      <c r="J29" s="32"/>
      <c r="K29" s="34"/>
      <c r="L29" s="5"/>
      <c r="M29" s="7"/>
    </row>
    <row r="30" spans="1:19">
      <c r="B30" s="22"/>
      <c r="C30" s="18"/>
      <c r="D30" s="18"/>
      <c r="E30" s="22"/>
      <c r="F30" s="10"/>
      <c r="G30" s="596"/>
      <c r="H30" s="238"/>
      <c r="I30" s="30"/>
      <c r="J30" s="32"/>
      <c r="K30" s="9"/>
      <c r="L30" s="10"/>
      <c r="M30" s="19"/>
    </row>
    <row r="31" spans="1:19">
      <c r="B31" s="1"/>
      <c r="C31" s="1"/>
      <c r="D31" s="1"/>
      <c r="E31" s="1"/>
      <c r="H31" s="601" t="s">
        <v>18</v>
      </c>
      <c r="I31" s="65">
        <f>SUM(I8:I30)</f>
        <v>365322.36599999998</v>
      </c>
      <c r="J31" s="66"/>
      <c r="K31" s="600">
        <f>SUM(K8:K30)</f>
        <v>355136</v>
      </c>
      <c r="L31" s="185">
        <f>+K31-I31</f>
        <v>-10186.36599999998</v>
      </c>
      <c r="M31" s="14">
        <f>+K31/I31-1</f>
        <v>-2.7883225742603379E-2</v>
      </c>
      <c r="N31" s="600">
        <v>351568.38999999996</v>
      </c>
      <c r="O31" s="185">
        <v>-13753.976000000024</v>
      </c>
      <c r="P31" s="14">
        <v>-3.7648874747515548E-2</v>
      </c>
      <c r="Q31" s="600">
        <v>261411.72999999998</v>
      </c>
      <c r="R31" s="185">
        <v>5327.1899999999732</v>
      </c>
      <c r="S31" s="14">
        <v>2.0802466248059925E-2</v>
      </c>
    </row>
    <row r="32" spans="1:19">
      <c r="A32" s="107"/>
      <c r="B32" s="1"/>
      <c r="C32" s="1"/>
      <c r="D32" s="1"/>
      <c r="E32" s="1"/>
      <c r="H32" s="601" t="s">
        <v>608</v>
      </c>
      <c r="I32" s="63">
        <f>SUMIF($D8:$D30,"Bk",I8:I30)</f>
        <v>274109.30599999998</v>
      </c>
      <c r="J32" s="64"/>
      <c r="K32" s="63">
        <f>SUMIF($D8:$D30,"Bk",K8:K30)</f>
        <v>265727.75</v>
      </c>
      <c r="L32" s="60">
        <f>+K32-I32</f>
        <v>-8381.5559999999823</v>
      </c>
      <c r="M32" s="61">
        <f>+K32/I32-1</f>
        <v>-3.0577422278395661E-2</v>
      </c>
      <c r="N32" s="63">
        <v>264575.95999999996</v>
      </c>
      <c r="O32" s="60">
        <v>-9533.3460000000196</v>
      </c>
      <c r="P32" s="61">
        <v>-3.4779359150980516E-2</v>
      </c>
      <c r="Q32" s="63">
        <v>220214.22999999998</v>
      </c>
      <c r="R32" s="60">
        <v>4668.6499999999942</v>
      </c>
      <c r="S32" s="61">
        <v>2.1659687941640859E-2</v>
      </c>
    </row>
    <row r="33" spans="1:30">
      <c r="A33" s="107"/>
      <c r="B33" s="1"/>
      <c r="C33" s="1"/>
      <c r="D33" s="1"/>
      <c r="E33" s="1"/>
      <c r="H33" s="602" t="s">
        <v>609</v>
      </c>
      <c r="I33" s="34">
        <f>SUMIF($D8:$D30,"PEA",I8:I30)</f>
        <v>85220.060000000012</v>
      </c>
      <c r="J33" s="32"/>
      <c r="K33" s="34">
        <f>SUMIF($D8:$D30,"PEA",K8:K30)</f>
        <v>82144.75</v>
      </c>
      <c r="L33" s="5">
        <f>+K33-I33</f>
        <v>-3075.3100000000122</v>
      </c>
      <c r="M33" s="7">
        <f>+K33/I33-1</f>
        <v>-3.6086691325962539E-2</v>
      </c>
      <c r="N33" s="34">
        <v>81016.649999999994</v>
      </c>
      <c r="O33" s="5">
        <v>-4203.410000000018</v>
      </c>
      <c r="P33" s="7">
        <v>-4.9324184939555482E-2</v>
      </c>
      <c r="Q33" s="34">
        <v>34262.5</v>
      </c>
      <c r="R33" s="5">
        <v>-283.4600000000064</v>
      </c>
      <c r="S33" s="7">
        <v>-8.2053009961224888E-3</v>
      </c>
    </row>
    <row r="34" spans="1:30">
      <c r="A34" s="107"/>
      <c r="B34" s="1"/>
      <c r="C34" s="1"/>
      <c r="D34" s="1"/>
      <c r="E34" s="1"/>
      <c r="H34" s="237" t="s">
        <v>610</v>
      </c>
      <c r="I34" s="35">
        <f>SUMIF($D8:$D30,"Caixa",I8:I30)</f>
        <v>5993</v>
      </c>
      <c r="J34" s="33"/>
      <c r="K34" s="35">
        <f>SUMIF($D8:$D30,"Caixa",K8:K30)</f>
        <v>7263.4999999999991</v>
      </c>
      <c r="L34" s="10">
        <f>+K34-I34</f>
        <v>1270.4999999999991</v>
      </c>
      <c r="M34" s="15">
        <f>+K34/I34-1</f>
        <v>0.21199733021858824</v>
      </c>
      <c r="N34" s="35">
        <v>5975.78</v>
      </c>
      <c r="O34" s="10">
        <v>-17.220000000000255</v>
      </c>
      <c r="P34" s="15">
        <v>-2.8733522442850878E-3</v>
      </c>
      <c r="Q34" s="35">
        <v>6935</v>
      </c>
      <c r="R34" s="10">
        <v>942</v>
      </c>
      <c r="S34" s="15">
        <v>0.15718338061071258</v>
      </c>
    </row>
    <row r="35" spans="1:30">
      <c r="A35" s="313"/>
      <c r="B35" s="1"/>
      <c r="C35" s="1"/>
      <c r="D35" s="1"/>
      <c r="E35" s="1"/>
    </row>
    <row r="36" spans="1:30">
      <c r="A36" s="1" t="s">
        <v>21</v>
      </c>
      <c r="B36" s="1"/>
      <c r="C36" s="1"/>
      <c r="D36" s="1"/>
      <c r="E36" s="1"/>
      <c r="G36" s="1" t="s">
        <v>21</v>
      </c>
      <c r="H36" s="1" t="s">
        <v>21</v>
      </c>
      <c r="I36" s="1" t="s">
        <v>21</v>
      </c>
      <c r="J36" s="1" t="s">
        <v>21</v>
      </c>
      <c r="K36" s="1" t="s">
        <v>21</v>
      </c>
      <c r="L36" s="1" t="s">
        <v>21</v>
      </c>
      <c r="M36" s="1" t="s">
        <v>21</v>
      </c>
    </row>
    <row r="37" spans="1:30">
      <c r="B37" s="105" t="s">
        <v>75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1:30">
      <c r="E38" s="26" t="s">
        <v>1</v>
      </c>
      <c r="F38" s="28"/>
      <c r="G38" s="27"/>
      <c r="H38" s="28"/>
      <c r="I38" s="27"/>
      <c r="J38" s="29"/>
      <c r="K38" s="49" t="s">
        <v>65</v>
      </c>
      <c r="L38" s="50"/>
      <c r="M38" s="50"/>
      <c r="N38" s="112" t="s">
        <v>145</v>
      </c>
      <c r="O38" s="113"/>
      <c r="Y38" s="633" t="s">
        <v>652</v>
      </c>
      <c r="Z38" s="634"/>
      <c r="AA38" s="634"/>
      <c r="AB38" s="634"/>
      <c r="AC38" s="634"/>
      <c r="AD38" s="635"/>
    </row>
    <row r="39" spans="1:30" s="252" customFormat="1" ht="25.5">
      <c r="B39" s="253"/>
      <c r="C39" s="254" t="s">
        <v>64</v>
      </c>
      <c r="D39" s="255"/>
      <c r="E39" s="256"/>
      <c r="F39" s="257" t="s">
        <v>30</v>
      </c>
      <c r="G39" s="258" t="s">
        <v>189</v>
      </c>
      <c r="H39" s="258"/>
      <c r="I39" s="259" t="s">
        <v>23</v>
      </c>
      <c r="J39" s="260"/>
      <c r="K39" s="259" t="s">
        <v>26</v>
      </c>
      <c r="L39" s="251" t="s">
        <v>192</v>
      </c>
      <c r="M39" s="261" t="s">
        <v>7</v>
      </c>
      <c r="N39" s="262" t="s">
        <v>134</v>
      </c>
      <c r="O39" s="263" t="s">
        <v>146</v>
      </c>
      <c r="P39" s="259" t="s">
        <v>26</v>
      </c>
      <c r="Q39" s="251" t="s">
        <v>192</v>
      </c>
      <c r="R39" s="261" t="s">
        <v>7</v>
      </c>
      <c r="S39" s="253"/>
      <c r="X39" s="630" t="s">
        <v>645</v>
      </c>
      <c r="Y39" s="626" t="s">
        <v>650</v>
      </c>
      <c r="Z39" s="332" t="s">
        <v>653</v>
      </c>
      <c r="AA39" s="627" t="s">
        <v>648</v>
      </c>
      <c r="AB39" s="626" t="s">
        <v>646</v>
      </c>
      <c r="AC39" s="333" t="s">
        <v>649</v>
      </c>
      <c r="AD39" s="630" t="s">
        <v>647</v>
      </c>
    </row>
    <row r="40" spans="1:30">
      <c r="C40" s="103" t="s">
        <v>5</v>
      </c>
      <c r="D40" s="16" t="s">
        <v>3</v>
      </c>
      <c r="E40" s="38"/>
      <c r="F40" s="44"/>
      <c r="G40" s="45" t="s">
        <v>190</v>
      </c>
      <c r="H40" s="45" t="s">
        <v>191</v>
      </c>
      <c r="I40" s="46" t="s">
        <v>20</v>
      </c>
      <c r="J40" s="47" t="s">
        <v>24</v>
      </c>
      <c r="K40" s="46" t="s">
        <v>20</v>
      </c>
      <c r="L40" s="39" t="s">
        <v>20</v>
      </c>
      <c r="M40" s="48" t="s">
        <v>8</v>
      </c>
      <c r="N40" s="38" t="s">
        <v>147</v>
      </c>
      <c r="O40" s="48" t="s">
        <v>147</v>
      </c>
      <c r="P40" s="46" t="s">
        <v>20</v>
      </c>
      <c r="Q40" s="39" t="s">
        <v>20</v>
      </c>
      <c r="R40" s="48" t="s">
        <v>8</v>
      </c>
      <c r="X40" s="225" t="s">
        <v>651</v>
      </c>
      <c r="Y40" s="22" t="s">
        <v>651</v>
      </c>
      <c r="Z40" s="18"/>
      <c r="AA40" s="217" t="s">
        <v>36</v>
      </c>
      <c r="AB40" s="22" t="s">
        <v>651</v>
      </c>
      <c r="AC40" s="217" t="s">
        <v>36</v>
      </c>
      <c r="AD40" s="225" t="s">
        <v>36</v>
      </c>
    </row>
    <row r="41" spans="1:30">
      <c r="B41" s="548" t="s">
        <v>175</v>
      </c>
      <c r="C41" s="549">
        <v>39271</v>
      </c>
      <c r="D41" s="557">
        <v>5.25</v>
      </c>
      <c r="E41" s="1"/>
      <c r="F41" s="550">
        <v>4</v>
      </c>
      <c r="G41" s="551">
        <f t="shared" ref="G41:G54" si="18">+I41/$I$54</f>
        <v>0</v>
      </c>
      <c r="H41" s="552">
        <f t="shared" ref="H41:H54" si="19">+K41/$K$54</f>
        <v>5.9132276085781219E-5</v>
      </c>
      <c r="I41" s="553">
        <f t="shared" ref="I41:I53" si="20">SUMIF($C$8:$C$30,$B41,I$8:I$30)</f>
        <v>0</v>
      </c>
      <c r="J41" s="554">
        <f t="shared" ref="J41:J53" si="21">+IF(F41=0,0,I41/F41)</f>
        <v>0</v>
      </c>
      <c r="K41" s="460">
        <f t="shared" ref="K41:K53" si="22">VLOOKUP(B41,$B$41:$D$55,3,0)*F41</f>
        <v>21</v>
      </c>
      <c r="L41" s="102">
        <f t="shared" ref="L41:L53" si="23">+K41-I41</f>
        <v>21</v>
      </c>
      <c r="M41" s="462">
        <f t="shared" ref="M41:M53" si="24">+IF(I41=0,0,K41/I41-1)</f>
        <v>0</v>
      </c>
      <c r="N41" s="553">
        <f t="shared" ref="N41:N53" si="25">+I41*0.166386</f>
        <v>0</v>
      </c>
      <c r="O41" s="460">
        <f t="shared" ref="O41:O53" si="26">+L41*0.166386</f>
        <v>3.4941059999999999</v>
      </c>
      <c r="P41" s="460">
        <v>19.96</v>
      </c>
      <c r="Q41" s="102">
        <v>19.96</v>
      </c>
      <c r="R41" s="462">
        <v>0</v>
      </c>
      <c r="S41" s="555">
        <f t="shared" ref="S41:S54" si="27">-R41+M41</f>
        <v>0</v>
      </c>
      <c r="W41" s="548" t="str">
        <f>+B41</f>
        <v>Antena 3</v>
      </c>
      <c r="X41" s="631">
        <f>+D41</f>
        <v>5.25</v>
      </c>
      <c r="Y41" s="628">
        <v>0</v>
      </c>
      <c r="Z41" s="641" t="str">
        <f>IF(Y41&lt;&gt;0,X41/Y41,"-")</f>
        <v>-</v>
      </c>
      <c r="AA41" s="636">
        <f>+IF($X41&lt;&gt;0,+Y41/$X41,"-")</f>
        <v>0</v>
      </c>
      <c r="AB41" s="628">
        <v>0</v>
      </c>
      <c r="AC41" s="636">
        <f>+IF($X41&lt;&gt;0,+AB41/$X41,"-")</f>
        <v>0</v>
      </c>
      <c r="AD41" s="638" t="str">
        <f t="shared" ref="AD41:AD52" si="28">+IF($Y41&lt;&gt;0,+AB41/$Y41,"-")</f>
        <v>-</v>
      </c>
    </row>
    <row r="42" spans="1:30">
      <c r="B42" s="455" t="s">
        <v>687</v>
      </c>
      <c r="C42" s="456">
        <v>39271</v>
      </c>
      <c r="D42" s="558">
        <v>47.975000000000001</v>
      </c>
      <c r="E42" s="1"/>
      <c r="F42" s="457">
        <f t="shared" ref="F42:F53" si="29">SUMIF($C$8:$C$30,$B42,F$8:F$30)</f>
        <v>500</v>
      </c>
      <c r="G42" s="458">
        <f t="shared" si="18"/>
        <v>6.1286803337959321E-2</v>
      </c>
      <c r="H42" s="459">
        <f t="shared" si="19"/>
        <v>6.7544546314651288E-2</v>
      </c>
      <c r="I42" s="460">
        <f t="shared" si="20"/>
        <v>22389.439999999999</v>
      </c>
      <c r="J42" s="461">
        <f t="shared" si="21"/>
        <v>44.778880000000001</v>
      </c>
      <c r="K42" s="460">
        <f t="shared" si="22"/>
        <v>23987.5</v>
      </c>
      <c r="L42" s="102">
        <f t="shared" si="23"/>
        <v>1598.0600000000013</v>
      </c>
      <c r="M42" s="462">
        <f t="shared" si="24"/>
        <v>7.1375612788886267E-2</v>
      </c>
      <c r="N42" s="460">
        <f t="shared" si="25"/>
        <v>3725.2893638400001</v>
      </c>
      <c r="O42" s="463">
        <f t="shared" si="26"/>
        <v>265.89481116000024</v>
      </c>
      <c r="P42" s="460">
        <v>22389.439999999999</v>
      </c>
      <c r="Q42" s="102">
        <v>0</v>
      </c>
      <c r="R42" s="462">
        <v>0</v>
      </c>
      <c r="S42" s="464">
        <f t="shared" si="27"/>
        <v>7.1375612788886267E-2</v>
      </c>
      <c r="W42" s="455" t="str">
        <f t="shared" ref="W42:W53" si="30">+B42</f>
        <v>BNP</v>
      </c>
      <c r="X42" s="631">
        <f t="shared" ref="X42:X53" si="31">+D42</f>
        <v>47.975000000000001</v>
      </c>
      <c r="Y42" s="628">
        <v>1.28</v>
      </c>
      <c r="Z42" s="641">
        <f t="shared" ref="Z42:Z53" si="32">IF(Y42&lt;&gt;0,X42/Y42,"-")</f>
        <v>37.48046875</v>
      </c>
      <c r="AA42" s="636">
        <f t="shared" ref="AA42:AA53" si="33">+IF($X42&lt;&gt;0,+Y42/$X42,"-")</f>
        <v>2.6680562793121417E-2</v>
      </c>
      <c r="AB42" s="628">
        <v>0.45</v>
      </c>
      <c r="AC42" s="636">
        <f t="shared" ref="AC42:AC53" si="34">+IF($X42&lt;&gt;0,+AB42/$X42,"-")</f>
        <v>9.3798853569567481E-3</v>
      </c>
      <c r="AD42" s="638">
        <f t="shared" si="28"/>
        <v>0.3515625</v>
      </c>
    </row>
    <row r="43" spans="1:30" s="454" customFormat="1">
      <c r="B43" s="465" t="s">
        <v>11</v>
      </c>
      <c r="C43" s="466">
        <v>39271</v>
      </c>
      <c r="D43" s="559">
        <v>5.65</v>
      </c>
      <c r="F43" s="457">
        <f t="shared" si="29"/>
        <v>5</v>
      </c>
      <c r="G43" s="458">
        <f t="shared" si="18"/>
        <v>0</v>
      </c>
      <c r="H43" s="459">
        <f t="shared" si="19"/>
        <v>7.9546990448729502E-5</v>
      </c>
      <c r="I43" s="460">
        <f t="shared" si="20"/>
        <v>0</v>
      </c>
      <c r="J43" s="461">
        <f t="shared" si="21"/>
        <v>0</v>
      </c>
      <c r="K43" s="460">
        <f t="shared" si="22"/>
        <v>28.25</v>
      </c>
      <c r="L43" s="102">
        <f t="shared" si="23"/>
        <v>28.25</v>
      </c>
      <c r="M43" s="462">
        <f t="shared" si="24"/>
        <v>0</v>
      </c>
      <c r="N43" s="460">
        <f t="shared" si="25"/>
        <v>0</v>
      </c>
      <c r="O43" s="463">
        <f t="shared" si="26"/>
        <v>4.7004045000000003</v>
      </c>
      <c r="P43" s="460">
        <v>23.130000000000003</v>
      </c>
      <c r="Q43" s="102">
        <v>23.130000000000003</v>
      </c>
      <c r="R43" s="462">
        <v>0</v>
      </c>
      <c r="S43" s="464">
        <f t="shared" si="27"/>
        <v>0</v>
      </c>
      <c r="W43" s="465" t="str">
        <f t="shared" si="30"/>
        <v>Bk</v>
      </c>
      <c r="X43" s="631">
        <f t="shared" si="31"/>
        <v>5.65</v>
      </c>
      <c r="Y43" s="628">
        <v>0</v>
      </c>
      <c r="Z43" s="641" t="str">
        <f t="shared" si="32"/>
        <v>-</v>
      </c>
      <c r="AA43" s="636">
        <f t="shared" si="33"/>
        <v>0</v>
      </c>
      <c r="AB43" s="628">
        <v>0</v>
      </c>
      <c r="AC43" s="636">
        <f t="shared" si="34"/>
        <v>0</v>
      </c>
      <c r="AD43" s="638" t="str">
        <f t="shared" si="28"/>
        <v>-</v>
      </c>
    </row>
    <row r="44" spans="1:30" s="454" customFormat="1">
      <c r="B44" s="465" t="s">
        <v>28</v>
      </c>
      <c r="C44" s="466">
        <v>39271</v>
      </c>
      <c r="D44" s="559">
        <v>9.9499999999999993</v>
      </c>
      <c r="F44" s="457">
        <f t="shared" si="29"/>
        <v>1930</v>
      </c>
      <c r="G44" s="458">
        <f t="shared" si="18"/>
        <v>4.3904117274878258E-2</v>
      </c>
      <c r="H44" s="459">
        <f t="shared" si="19"/>
        <v>5.4073650657776175E-2</v>
      </c>
      <c r="I44" s="460">
        <f t="shared" si="20"/>
        <v>16039.155999999999</v>
      </c>
      <c r="J44" s="461">
        <f t="shared" si="21"/>
        <v>8.3104435233160618</v>
      </c>
      <c r="K44" s="460">
        <f t="shared" si="22"/>
        <v>19203.5</v>
      </c>
      <c r="L44" s="102">
        <f t="shared" si="23"/>
        <v>3164.344000000001</v>
      </c>
      <c r="M44" s="462">
        <f t="shared" si="24"/>
        <v>0.19728868526498533</v>
      </c>
      <c r="N44" s="460">
        <f t="shared" si="25"/>
        <v>2668.691010216</v>
      </c>
      <c r="O44" s="463">
        <f t="shared" si="26"/>
        <v>526.50254078400019</v>
      </c>
      <c r="P44" s="460">
        <v>15798.98</v>
      </c>
      <c r="Q44" s="102">
        <v>-240.17599999999948</v>
      </c>
      <c r="R44" s="462">
        <v>-1.4974354012143754E-2</v>
      </c>
      <c r="S44" s="464">
        <f t="shared" si="27"/>
        <v>0.21226303927712908</v>
      </c>
      <c r="W44" s="465" t="str">
        <f t="shared" si="30"/>
        <v>BSCH</v>
      </c>
      <c r="X44" s="631">
        <f t="shared" si="31"/>
        <v>9.9499999999999993</v>
      </c>
      <c r="Y44" s="628">
        <v>1.1000000000000001</v>
      </c>
      <c r="Z44" s="641">
        <f t="shared" si="32"/>
        <v>9.0454545454545432</v>
      </c>
      <c r="AA44" s="636">
        <f t="shared" si="33"/>
        <v>0.1105527638190955</v>
      </c>
      <c r="AB44" s="628">
        <v>0.6</v>
      </c>
      <c r="AC44" s="636">
        <f t="shared" si="34"/>
        <v>6.0301507537688447E-2</v>
      </c>
      <c r="AD44" s="638">
        <f t="shared" si="28"/>
        <v>0.54545454545454541</v>
      </c>
    </row>
    <row r="45" spans="1:30" s="454" customFormat="1">
      <c r="B45" s="465" t="s">
        <v>404</v>
      </c>
      <c r="C45" s="466">
        <v>39271</v>
      </c>
      <c r="D45" s="559">
        <v>16.754999999999999</v>
      </c>
      <c r="F45" s="457">
        <f t="shared" si="29"/>
        <v>400</v>
      </c>
      <c r="G45" s="458">
        <f t="shared" si="18"/>
        <v>1.5586124830911666E-2</v>
      </c>
      <c r="H45" s="459">
        <f t="shared" si="19"/>
        <v>1.8871643539376464E-2</v>
      </c>
      <c r="I45" s="460">
        <f t="shared" si="20"/>
        <v>5693.96</v>
      </c>
      <c r="J45" s="461">
        <f t="shared" si="21"/>
        <v>14.2349</v>
      </c>
      <c r="K45" s="460">
        <f t="shared" si="22"/>
        <v>6702</v>
      </c>
      <c r="L45" s="102">
        <f t="shared" si="23"/>
        <v>1008.04</v>
      </c>
      <c r="M45" s="462">
        <f t="shared" si="24"/>
        <v>0.17703671961165868</v>
      </c>
      <c r="N45" s="460">
        <f t="shared" si="25"/>
        <v>947.39522856000008</v>
      </c>
      <c r="O45" s="463">
        <f t="shared" si="26"/>
        <v>167.72374343999999</v>
      </c>
      <c r="P45" s="460">
        <v>6772</v>
      </c>
      <c r="Q45" s="102">
        <v>1078.04</v>
      </c>
      <c r="R45" s="462">
        <v>0.18933044840497648</v>
      </c>
      <c r="S45" s="464">
        <f t="shared" si="27"/>
        <v>-1.2293728793317804E-2</v>
      </c>
      <c r="W45" s="465" t="str">
        <f t="shared" si="30"/>
        <v>EADS</v>
      </c>
      <c r="X45" s="631">
        <f t="shared" si="31"/>
        <v>16.754999999999999</v>
      </c>
      <c r="Y45" s="628">
        <v>0.71</v>
      </c>
      <c r="Z45" s="641">
        <f t="shared" si="32"/>
        <v>23.598591549295776</v>
      </c>
      <c r="AA45" s="636">
        <f t="shared" si="33"/>
        <v>4.2375410325276038E-2</v>
      </c>
      <c r="AB45" s="628">
        <v>0.15</v>
      </c>
      <c r="AC45" s="636">
        <f t="shared" si="34"/>
        <v>8.9525514771709933E-3</v>
      </c>
      <c r="AD45" s="638">
        <f t="shared" si="28"/>
        <v>0.21126760563380281</v>
      </c>
    </row>
    <row r="46" spans="1:30" s="454" customFormat="1">
      <c r="B46" s="465" t="s">
        <v>356</v>
      </c>
      <c r="C46" s="466">
        <v>39271</v>
      </c>
      <c r="D46" s="559">
        <v>31.184999999999999</v>
      </c>
      <c r="F46" s="457">
        <f t="shared" si="29"/>
        <v>2450</v>
      </c>
      <c r="G46" s="458">
        <f t="shared" si="18"/>
        <v>0.22494286593994081</v>
      </c>
      <c r="H46" s="459">
        <f t="shared" si="19"/>
        <v>0.21513800346909354</v>
      </c>
      <c r="I46" s="460">
        <f t="shared" si="20"/>
        <v>82176.66</v>
      </c>
      <c r="J46" s="461">
        <f t="shared" si="21"/>
        <v>33.541493877551019</v>
      </c>
      <c r="K46" s="460">
        <f t="shared" si="22"/>
        <v>76403.25</v>
      </c>
      <c r="L46" s="102">
        <f t="shared" si="23"/>
        <v>-5773.4100000000035</v>
      </c>
      <c r="M46" s="462">
        <f t="shared" si="24"/>
        <v>-7.0256080011039668E-2</v>
      </c>
      <c r="N46" s="460">
        <f t="shared" si="25"/>
        <v>13673.04575076</v>
      </c>
      <c r="O46" s="463">
        <f t="shared" si="26"/>
        <v>-960.61459626000067</v>
      </c>
      <c r="P46" s="460">
        <v>76997.12999999999</v>
      </c>
      <c r="Q46" s="102">
        <v>-5179.5300000000134</v>
      </c>
      <c r="R46" s="462">
        <v>-6.3029210483852904E-2</v>
      </c>
      <c r="S46" s="464">
        <f t="shared" si="27"/>
        <v>-7.2268695271867633E-3</v>
      </c>
      <c r="W46" s="465" t="str">
        <f t="shared" si="30"/>
        <v>EDF</v>
      </c>
      <c r="X46" s="631">
        <f t="shared" si="31"/>
        <v>31.184999999999999</v>
      </c>
      <c r="Y46" s="628">
        <v>2.14</v>
      </c>
      <c r="Z46" s="641">
        <f t="shared" si="32"/>
        <v>14.572429906542055</v>
      </c>
      <c r="AA46" s="636">
        <f t="shared" si="33"/>
        <v>6.8622735289401965E-2</v>
      </c>
      <c r="AB46" s="628">
        <v>1.1499999999999999</v>
      </c>
      <c r="AC46" s="636">
        <f t="shared" si="34"/>
        <v>3.6876703543370207E-2</v>
      </c>
      <c r="AD46" s="638">
        <f t="shared" si="28"/>
        <v>0.53738317757009335</v>
      </c>
    </row>
    <row r="47" spans="1:30" s="454" customFormat="1">
      <c r="B47" s="24" t="s">
        <v>10</v>
      </c>
      <c r="C47" s="76">
        <v>39271</v>
      </c>
      <c r="D47" s="560">
        <v>20.11</v>
      </c>
      <c r="F47" s="5">
        <f t="shared" si="29"/>
        <v>0</v>
      </c>
      <c r="G47" s="243">
        <f t="shared" si="18"/>
        <v>0</v>
      </c>
      <c r="H47" s="249">
        <f t="shared" si="19"/>
        <v>0</v>
      </c>
      <c r="I47" s="4">
        <f t="shared" si="20"/>
        <v>0</v>
      </c>
      <c r="J47" s="32">
        <f t="shared" si="21"/>
        <v>0</v>
      </c>
      <c r="K47" s="4">
        <f t="shared" si="22"/>
        <v>0</v>
      </c>
      <c r="L47" s="12">
        <f t="shared" si="23"/>
        <v>0</v>
      </c>
      <c r="M47" s="7">
        <f t="shared" si="24"/>
        <v>0</v>
      </c>
      <c r="N47" s="4">
        <f t="shared" si="25"/>
        <v>0</v>
      </c>
      <c r="O47" s="6">
        <f t="shared" si="26"/>
        <v>0</v>
      </c>
      <c r="P47" s="4">
        <v>0</v>
      </c>
      <c r="Q47" s="12">
        <v>0</v>
      </c>
      <c r="R47" s="7">
        <v>0</v>
      </c>
      <c r="S47" s="376">
        <f t="shared" si="27"/>
        <v>0</v>
      </c>
      <c r="W47" s="24" t="str">
        <f t="shared" si="30"/>
        <v>Endesa</v>
      </c>
      <c r="X47" s="631">
        <f t="shared" si="31"/>
        <v>20.11</v>
      </c>
      <c r="Y47" s="628">
        <v>0</v>
      </c>
      <c r="Z47" s="641" t="str">
        <f t="shared" si="32"/>
        <v>-</v>
      </c>
      <c r="AA47" s="636">
        <f t="shared" si="33"/>
        <v>0</v>
      </c>
      <c r="AB47" s="628">
        <v>0</v>
      </c>
      <c r="AC47" s="636">
        <f t="shared" si="34"/>
        <v>0</v>
      </c>
      <c r="AD47" s="638" t="str">
        <f t="shared" si="28"/>
        <v>-</v>
      </c>
    </row>
    <row r="48" spans="1:30" s="454" customFormat="1">
      <c r="B48" s="465" t="s">
        <v>529</v>
      </c>
      <c r="C48" s="466">
        <v>39271</v>
      </c>
      <c r="D48" s="559">
        <v>12.41</v>
      </c>
      <c r="F48" s="457">
        <f t="shared" si="29"/>
        <v>7000</v>
      </c>
      <c r="G48" s="458">
        <f t="shared" si="18"/>
        <v>0.24440415728611586</v>
      </c>
      <c r="H48" s="459">
        <f t="shared" si="19"/>
        <v>0.24461051540818166</v>
      </c>
      <c r="I48" s="460">
        <f t="shared" si="20"/>
        <v>89286.304999999993</v>
      </c>
      <c r="J48" s="461">
        <f t="shared" si="21"/>
        <v>12.755186428571427</v>
      </c>
      <c r="K48" s="460">
        <f t="shared" si="22"/>
        <v>86870</v>
      </c>
      <c r="L48" s="102">
        <f t="shared" si="23"/>
        <v>-2416.304999999993</v>
      </c>
      <c r="M48" s="462">
        <f t="shared" si="24"/>
        <v>-2.7062436954917057E-2</v>
      </c>
      <c r="N48" s="460">
        <f t="shared" si="25"/>
        <v>14855.99114373</v>
      </c>
      <c r="O48" s="463">
        <f t="shared" si="26"/>
        <v>-402.03932372999884</v>
      </c>
      <c r="P48" s="460">
        <v>86135</v>
      </c>
      <c r="Q48" s="102">
        <v>-3151.304999999993</v>
      </c>
      <c r="R48" s="462">
        <v>-3.5294382492365384E-2</v>
      </c>
      <c r="S48" s="464">
        <f t="shared" si="27"/>
        <v>8.2319455374483264E-3</v>
      </c>
      <c r="W48" s="465" t="str">
        <f t="shared" si="30"/>
        <v>GAS</v>
      </c>
      <c r="X48" s="631">
        <f t="shared" si="31"/>
        <v>12.41</v>
      </c>
      <c r="Y48" s="628">
        <v>1.41</v>
      </c>
      <c r="Z48" s="641">
        <f t="shared" si="32"/>
        <v>8.8014184397163131</v>
      </c>
      <c r="AA48" s="636">
        <f t="shared" si="33"/>
        <v>0.11361804995970991</v>
      </c>
      <c r="AB48" s="628">
        <v>0.86</v>
      </c>
      <c r="AC48" s="636">
        <f t="shared" si="34"/>
        <v>6.9298952457695406E-2</v>
      </c>
      <c r="AD48" s="638">
        <f t="shared" si="28"/>
        <v>0.60992907801418439</v>
      </c>
    </row>
    <row r="49" spans="2:30" s="454" customFormat="1">
      <c r="B49" s="465" t="s">
        <v>604</v>
      </c>
      <c r="C49" s="466">
        <v>39271</v>
      </c>
      <c r="D49" s="559">
        <v>7.37</v>
      </c>
      <c r="F49" s="5">
        <f t="shared" si="29"/>
        <v>3000</v>
      </c>
      <c r="G49" s="243">
        <f t="shared" si="18"/>
        <v>7.7996018453466376E-2</v>
      </c>
      <c r="H49" s="249">
        <f t="shared" si="19"/>
        <v>6.2257839250315375E-2</v>
      </c>
      <c r="I49" s="4">
        <f t="shared" si="20"/>
        <v>28493.690000000002</v>
      </c>
      <c r="J49" s="32">
        <f t="shared" si="21"/>
        <v>9.4978966666666675</v>
      </c>
      <c r="K49" s="4">
        <f t="shared" si="22"/>
        <v>22110</v>
      </c>
      <c r="L49" s="12">
        <f t="shared" si="23"/>
        <v>-6383.6900000000023</v>
      </c>
      <c r="M49" s="7">
        <f t="shared" si="24"/>
        <v>-0.22403872576700323</v>
      </c>
      <c r="N49" s="4">
        <f t="shared" si="25"/>
        <v>4740.9511043400007</v>
      </c>
      <c r="O49" s="6">
        <f t="shared" si="26"/>
        <v>-1062.1566443400004</v>
      </c>
      <c r="P49" s="4">
        <v>23748</v>
      </c>
      <c r="Q49" s="12">
        <v>-4745.6900000000023</v>
      </c>
      <c r="R49" s="7">
        <v>-0.16655231386317471</v>
      </c>
      <c r="S49" s="376">
        <f t="shared" si="27"/>
        <v>-5.7486411903828527E-2</v>
      </c>
      <c r="W49" s="465" t="str">
        <f t="shared" si="30"/>
        <v>GAM</v>
      </c>
      <c r="X49" s="631">
        <f t="shared" si="31"/>
        <v>7.37</v>
      </c>
      <c r="Y49" s="628">
        <v>0.43</v>
      </c>
      <c r="Z49" s="641">
        <f t="shared" si="32"/>
        <v>17.13953488372093</v>
      </c>
      <c r="AA49" s="636">
        <f t="shared" si="33"/>
        <v>5.8344640434192671E-2</v>
      </c>
      <c r="AB49" s="628">
        <v>0.12</v>
      </c>
      <c r="AC49" s="636">
        <f t="shared" si="34"/>
        <v>1.6282225237449117E-2</v>
      </c>
      <c r="AD49" s="638">
        <f t="shared" si="28"/>
        <v>0.27906976744186046</v>
      </c>
    </row>
    <row r="50" spans="2:30" s="454" customFormat="1">
      <c r="B50" s="24" t="s">
        <v>360</v>
      </c>
      <c r="C50" s="76">
        <v>39271</v>
      </c>
      <c r="D50" s="560">
        <v>5.673</v>
      </c>
      <c r="F50" s="5">
        <f t="shared" si="29"/>
        <v>0</v>
      </c>
      <c r="G50" s="243">
        <f t="shared" si="18"/>
        <v>0</v>
      </c>
      <c r="H50" s="249">
        <f t="shared" si="19"/>
        <v>0</v>
      </c>
      <c r="I50" s="4">
        <f t="shared" si="20"/>
        <v>0</v>
      </c>
      <c r="J50" s="32">
        <f t="shared" si="21"/>
        <v>0</v>
      </c>
      <c r="K50" s="4">
        <f t="shared" si="22"/>
        <v>0</v>
      </c>
      <c r="L50" s="12">
        <f t="shared" si="23"/>
        <v>0</v>
      </c>
      <c r="M50" s="7">
        <f t="shared" si="24"/>
        <v>0</v>
      </c>
      <c r="N50" s="4">
        <f t="shared" si="25"/>
        <v>0</v>
      </c>
      <c r="O50" s="6">
        <f t="shared" si="26"/>
        <v>0</v>
      </c>
      <c r="P50" s="4">
        <v>0</v>
      </c>
      <c r="Q50" s="12">
        <v>0</v>
      </c>
      <c r="R50" s="7">
        <v>0</v>
      </c>
      <c r="S50" s="376">
        <f t="shared" si="27"/>
        <v>0</v>
      </c>
      <c r="W50" s="24" t="str">
        <f t="shared" si="30"/>
        <v>IBR</v>
      </c>
      <c r="X50" s="631">
        <f t="shared" si="31"/>
        <v>5.673</v>
      </c>
      <c r="Y50" s="628">
        <v>0</v>
      </c>
      <c r="Z50" s="641" t="str">
        <f t="shared" si="32"/>
        <v>-</v>
      </c>
      <c r="AA50" s="636">
        <f t="shared" si="33"/>
        <v>0</v>
      </c>
      <c r="AB50" s="628">
        <v>0</v>
      </c>
      <c r="AC50" s="636">
        <f t="shared" si="34"/>
        <v>0</v>
      </c>
      <c r="AD50" s="638" t="str">
        <f t="shared" si="28"/>
        <v>-</v>
      </c>
    </row>
    <row r="51" spans="2:30" s="454" customFormat="1">
      <c r="B51" s="465" t="s">
        <v>315</v>
      </c>
      <c r="C51" s="467">
        <v>39271</v>
      </c>
      <c r="D51" s="559">
        <v>0.26600000000000001</v>
      </c>
      <c r="F51" s="457">
        <f t="shared" si="29"/>
        <v>20000</v>
      </c>
      <c r="G51" s="243">
        <f t="shared" si="18"/>
        <v>1.6458203930497919E-2</v>
      </c>
      <c r="H51" s="249">
        <f t="shared" si="19"/>
        <v>1.498017660839791E-2</v>
      </c>
      <c r="I51" s="4">
        <f t="shared" si="20"/>
        <v>6012.55</v>
      </c>
      <c r="J51" s="6">
        <f t="shared" si="21"/>
        <v>0.30062749999999999</v>
      </c>
      <c r="K51" s="4">
        <f t="shared" si="22"/>
        <v>5320</v>
      </c>
      <c r="L51" s="12">
        <f t="shared" si="23"/>
        <v>-692.55000000000018</v>
      </c>
      <c r="M51" s="7">
        <f t="shared" si="24"/>
        <v>-0.1151840733133197</v>
      </c>
      <c r="N51" s="4">
        <f t="shared" si="25"/>
        <v>1000.4041443000001</v>
      </c>
      <c r="O51" s="6">
        <f t="shared" si="26"/>
        <v>-115.23062430000003</v>
      </c>
      <c r="P51" s="2">
        <v>5440</v>
      </c>
      <c r="Q51" s="1">
        <v>-572.55000000000018</v>
      </c>
      <c r="R51" s="7">
        <v>-9.5225819327905858E-2</v>
      </c>
      <c r="S51" s="376">
        <f t="shared" si="27"/>
        <v>-1.9958253985413843E-2</v>
      </c>
      <c r="W51" s="465" t="str">
        <f t="shared" si="30"/>
        <v>JAZZ</v>
      </c>
      <c r="X51" s="631">
        <f t="shared" si="31"/>
        <v>0.26600000000000001</v>
      </c>
      <c r="Y51" s="628">
        <v>0</v>
      </c>
      <c r="Z51" s="641" t="str">
        <f t="shared" si="32"/>
        <v>-</v>
      </c>
      <c r="AA51" s="636">
        <f t="shared" si="33"/>
        <v>0</v>
      </c>
      <c r="AB51" s="628">
        <v>0</v>
      </c>
      <c r="AC51" s="636">
        <f t="shared" si="34"/>
        <v>0</v>
      </c>
      <c r="AD51" s="638" t="str">
        <f t="shared" si="28"/>
        <v>-</v>
      </c>
    </row>
    <row r="52" spans="2:30" s="454" customFormat="1">
      <c r="B52" s="465" t="s">
        <v>462</v>
      </c>
      <c r="C52" s="466">
        <v>39271</v>
      </c>
      <c r="D52" s="559">
        <v>1.74</v>
      </c>
      <c r="F52" s="457">
        <f t="shared" si="29"/>
        <v>4000</v>
      </c>
      <c r="G52" s="458">
        <f t="shared" si="18"/>
        <v>2.1936379334628525E-2</v>
      </c>
      <c r="H52" s="459">
        <f t="shared" si="19"/>
        <v>1.9598125788430346E-2</v>
      </c>
      <c r="I52" s="460">
        <f t="shared" si="20"/>
        <v>8013.8499999999995</v>
      </c>
      <c r="J52" s="461">
        <f t="shared" si="21"/>
        <v>2.0034624999999999</v>
      </c>
      <c r="K52" s="460">
        <f t="shared" si="22"/>
        <v>6960</v>
      </c>
      <c r="L52" s="102">
        <f t="shared" si="23"/>
        <v>-1053.8499999999995</v>
      </c>
      <c r="M52" s="462">
        <f t="shared" si="24"/>
        <v>-0.13150358441947374</v>
      </c>
      <c r="N52" s="460">
        <f t="shared" si="25"/>
        <v>1333.3924460999999</v>
      </c>
      <c r="O52" s="463">
        <f t="shared" si="26"/>
        <v>-175.34588609999992</v>
      </c>
      <c r="P52" s="460">
        <v>7080</v>
      </c>
      <c r="Q52" s="102">
        <v>-933.84999999999945</v>
      </c>
      <c r="R52" s="462">
        <v>-0.11652950828877495</v>
      </c>
      <c r="S52" s="464">
        <f t="shared" si="27"/>
        <v>-1.4974076130698788E-2</v>
      </c>
      <c r="W52" s="465" t="str">
        <f t="shared" si="30"/>
        <v>SOS</v>
      </c>
      <c r="X52" s="631">
        <f t="shared" si="31"/>
        <v>1.74</v>
      </c>
      <c r="Y52" s="628">
        <v>0</v>
      </c>
      <c r="Z52" s="641" t="str">
        <f t="shared" si="32"/>
        <v>-</v>
      </c>
      <c r="AA52" s="636">
        <f t="shared" si="33"/>
        <v>0</v>
      </c>
      <c r="AB52" s="628">
        <v>0</v>
      </c>
      <c r="AC52" s="636">
        <f t="shared" si="34"/>
        <v>0</v>
      </c>
      <c r="AD52" s="638" t="str">
        <f t="shared" si="28"/>
        <v>-</v>
      </c>
    </row>
    <row r="53" spans="2:30">
      <c r="B53" s="465" t="s">
        <v>17</v>
      </c>
      <c r="C53" s="466">
        <v>39271</v>
      </c>
      <c r="D53" s="559">
        <v>16.170000000000002</v>
      </c>
      <c r="E53" s="1"/>
      <c r="F53" s="457">
        <f t="shared" si="29"/>
        <v>6650</v>
      </c>
      <c r="G53" s="458">
        <f t="shared" si="18"/>
        <v>0.29348532961160118</v>
      </c>
      <c r="H53" s="459">
        <f t="shared" si="19"/>
        <v>0.3027868196972428</v>
      </c>
      <c r="I53" s="460">
        <f t="shared" si="20"/>
        <v>107216.755</v>
      </c>
      <c r="J53" s="461">
        <f t="shared" si="21"/>
        <v>16.122820300751879</v>
      </c>
      <c r="K53" s="460">
        <f t="shared" si="22"/>
        <v>107530.50000000001</v>
      </c>
      <c r="L53" s="102">
        <f t="shared" si="23"/>
        <v>313.7450000000099</v>
      </c>
      <c r="M53" s="462">
        <f t="shared" si="24"/>
        <v>2.9262683803479295E-3</v>
      </c>
      <c r="N53" s="460">
        <f t="shared" si="25"/>
        <v>17839.366997430003</v>
      </c>
      <c r="O53" s="463">
        <f t="shared" si="26"/>
        <v>52.202775570001648</v>
      </c>
      <c r="P53" s="460">
        <v>107164.74999999999</v>
      </c>
      <c r="Q53" s="102">
        <v>-52.005000000019209</v>
      </c>
      <c r="R53" s="462">
        <v>-4.8504545768079943E-4</v>
      </c>
      <c r="S53" s="556">
        <f t="shared" si="27"/>
        <v>3.4113138380287289E-3</v>
      </c>
      <c r="W53" s="640" t="str">
        <f t="shared" si="30"/>
        <v>Telef.</v>
      </c>
      <c r="X53" s="632">
        <f t="shared" si="31"/>
        <v>16.170000000000002</v>
      </c>
      <c r="Y53" s="629">
        <v>1.79</v>
      </c>
      <c r="Z53" s="642">
        <f t="shared" si="32"/>
        <v>9.033519553072626</v>
      </c>
      <c r="AA53" s="637">
        <f t="shared" si="33"/>
        <v>0.11069882498453926</v>
      </c>
      <c r="AB53" s="629">
        <v>1.4</v>
      </c>
      <c r="AC53" s="637">
        <f t="shared" si="34"/>
        <v>8.6580086580086563E-2</v>
      </c>
      <c r="AD53" s="639">
        <f>+IF($Y53&lt;&gt;0,+AB53/$Y53,"-")</f>
        <v>0.78212290502793291</v>
      </c>
    </row>
    <row r="54" spans="2:30">
      <c r="B54" s="182" t="s">
        <v>18</v>
      </c>
      <c r="C54" s="85"/>
      <c r="D54" s="183"/>
      <c r="E54" s="108"/>
      <c r="F54" s="184"/>
      <c r="G54" s="247">
        <f t="shared" si="18"/>
        <v>1</v>
      </c>
      <c r="H54" s="250">
        <f t="shared" si="19"/>
        <v>1</v>
      </c>
      <c r="I54" s="65">
        <f>SUM(I41:I53)</f>
        <v>365322.36600000004</v>
      </c>
      <c r="J54" s="13"/>
      <c r="K54" s="65">
        <f>SUM(K41:K53)</f>
        <v>355136</v>
      </c>
      <c r="L54" s="185">
        <f>SUM(L41:L53)</f>
        <v>-10186.365999999984</v>
      </c>
      <c r="M54" s="186">
        <f>+L54/I54</f>
        <v>-2.7883225742603403E-2</v>
      </c>
      <c r="N54" s="189">
        <f>SUM(N41:N53)</f>
        <v>60784.527189276007</v>
      </c>
      <c r="O54" s="13">
        <f>SUM(O41:O53)</f>
        <v>-1694.8686932759979</v>
      </c>
      <c r="P54" s="65">
        <v>351568.38999999996</v>
      </c>
      <c r="Q54" s="185">
        <v>-13753.976000000024</v>
      </c>
      <c r="R54" s="186">
        <v>-3.7648874747515521E-2</v>
      </c>
      <c r="S54" s="377">
        <f t="shared" si="27"/>
        <v>9.7656490049121171E-3</v>
      </c>
      <c r="V54" s="624"/>
      <c r="W54" s="624"/>
      <c r="X54" s="624"/>
      <c r="Y54" s="625"/>
      <c r="Z54" s="21"/>
      <c r="AA54" s="625"/>
      <c r="AB54" s="21"/>
      <c r="AC54" s="21"/>
    </row>
    <row r="56" spans="2:30">
      <c r="C56" s="51" t="s">
        <v>19</v>
      </c>
      <c r="D56" s="57"/>
      <c r="M56" s="307"/>
      <c r="N56" s="307"/>
      <c r="O56" s="307"/>
    </row>
    <row r="58" spans="2:30">
      <c r="B58" s="68" t="s">
        <v>31</v>
      </c>
      <c r="C58" s="20"/>
      <c r="D58" s="20"/>
      <c r="E58" s="26" t="s">
        <v>1</v>
      </c>
      <c r="F58" s="28"/>
      <c r="G58" s="27"/>
      <c r="H58" s="28"/>
      <c r="I58" s="27"/>
      <c r="J58" s="29"/>
      <c r="K58" s="26" t="s">
        <v>32</v>
      </c>
      <c r="L58" s="28"/>
      <c r="M58" s="27"/>
      <c r="N58" s="28"/>
      <c r="O58" s="29"/>
      <c r="P58" s="49" t="s">
        <v>25</v>
      </c>
      <c r="Q58" s="50"/>
    </row>
    <row r="59" spans="2:30">
      <c r="B59" s="36" t="s">
        <v>2</v>
      </c>
      <c r="C59" s="37" t="s">
        <v>3</v>
      </c>
      <c r="D59" s="37" t="s">
        <v>4</v>
      </c>
      <c r="E59" s="36" t="s">
        <v>5</v>
      </c>
      <c r="F59" s="67" t="s">
        <v>30</v>
      </c>
      <c r="G59" s="40" t="s">
        <v>6</v>
      </c>
      <c r="H59" s="40" t="s">
        <v>22</v>
      </c>
      <c r="I59" s="41" t="s">
        <v>23</v>
      </c>
      <c r="J59" s="42"/>
      <c r="K59" s="36" t="s">
        <v>5</v>
      </c>
      <c r="L59" s="40" t="s">
        <v>6</v>
      </c>
      <c r="M59" s="40" t="s">
        <v>22</v>
      </c>
      <c r="N59" s="41" t="s">
        <v>34</v>
      </c>
      <c r="O59" s="42"/>
      <c r="P59" s="40" t="s">
        <v>35</v>
      </c>
      <c r="Q59" s="43" t="s">
        <v>7</v>
      </c>
    </row>
    <row r="60" spans="2:30">
      <c r="B60" s="38"/>
      <c r="C60" s="39"/>
      <c r="D60" s="39"/>
      <c r="E60" s="38"/>
      <c r="F60" s="44"/>
      <c r="G60" s="45" t="s">
        <v>20</v>
      </c>
      <c r="H60" s="45" t="s">
        <v>20</v>
      </c>
      <c r="I60" s="46" t="s">
        <v>20</v>
      </c>
      <c r="J60" s="47" t="s">
        <v>24</v>
      </c>
      <c r="K60" s="38"/>
      <c r="L60" s="45" t="s">
        <v>33</v>
      </c>
      <c r="M60" s="45" t="s">
        <v>20</v>
      </c>
      <c r="N60" s="46" t="s">
        <v>20</v>
      </c>
      <c r="O60" s="47" t="s">
        <v>24</v>
      </c>
      <c r="P60" s="45" t="s">
        <v>20</v>
      </c>
      <c r="Q60" s="48" t="s">
        <v>36</v>
      </c>
    </row>
    <row r="61" spans="2:30">
      <c r="B61" s="85" t="s">
        <v>9</v>
      </c>
      <c r="C61" s="86" t="s">
        <v>37</v>
      </c>
      <c r="D61" s="86" t="s">
        <v>38</v>
      </c>
      <c r="E61" s="74" t="s">
        <v>286</v>
      </c>
      <c r="F61" s="87">
        <v>122</v>
      </c>
      <c r="G61" s="75">
        <v>19.13</v>
      </c>
      <c r="H61" s="88">
        <v>0</v>
      </c>
      <c r="I61" s="65">
        <f t="shared" ref="I61:I71" si="35">+(G61+H61)*F61</f>
        <v>2333.8599999999997</v>
      </c>
      <c r="J61" s="66">
        <f t="shared" ref="J61:J74" si="36">+I61/F61</f>
        <v>19.13</v>
      </c>
      <c r="K61" s="74" t="s">
        <v>42</v>
      </c>
      <c r="L61" s="75">
        <v>19.260000000000002</v>
      </c>
      <c r="M61" s="88">
        <v>0</v>
      </c>
      <c r="N61" s="65">
        <f>+(L61-M61)*F61</f>
        <v>2349.7200000000003</v>
      </c>
      <c r="O61" s="66">
        <f t="shared" ref="O61:O74" si="37">+N61/F61</f>
        <v>19.260000000000002</v>
      </c>
      <c r="P61" s="62">
        <f t="shared" ref="P61:P74" si="38">+N61-I61</f>
        <v>15.860000000000582</v>
      </c>
      <c r="Q61" s="14">
        <f t="shared" ref="Q61:Q74" si="39">+P61/I61</f>
        <v>6.7956089911136849E-3</v>
      </c>
      <c r="R61" s="609">
        <f>+P61</f>
        <v>15.860000000000582</v>
      </c>
      <c r="S61" s="608">
        <v>1999</v>
      </c>
    </row>
    <row r="62" spans="2:30">
      <c r="B62" s="77" t="s">
        <v>9</v>
      </c>
      <c r="C62" s="78" t="s">
        <v>10</v>
      </c>
      <c r="D62" s="78" t="s">
        <v>11</v>
      </c>
      <c r="E62" s="79" t="s">
        <v>12</v>
      </c>
      <c r="F62" s="80">
        <v>200</v>
      </c>
      <c r="G62" s="81">
        <v>20.27</v>
      </c>
      <c r="H62" s="89">
        <v>0</v>
      </c>
      <c r="I62" s="63">
        <f t="shared" si="35"/>
        <v>4054</v>
      </c>
      <c r="J62" s="64">
        <f t="shared" si="36"/>
        <v>20.27</v>
      </c>
      <c r="K62" s="79" t="s">
        <v>14</v>
      </c>
      <c r="L62" s="81">
        <v>19.37</v>
      </c>
      <c r="M62" s="89">
        <v>0</v>
      </c>
      <c r="N62" s="63">
        <f t="shared" ref="N62:N71" si="40">+(L62-M62)*F62</f>
        <v>3874</v>
      </c>
      <c r="O62" s="64">
        <f t="shared" si="37"/>
        <v>19.37</v>
      </c>
      <c r="P62" s="59">
        <f t="shared" si="38"/>
        <v>-180</v>
      </c>
      <c r="Q62" s="61">
        <f t="shared" si="39"/>
        <v>-4.4400592007893439E-2</v>
      </c>
      <c r="R62" s="609">
        <f>SUM(P62:P63)</f>
        <v>353.97</v>
      </c>
      <c r="S62" s="608">
        <v>2000</v>
      </c>
    </row>
    <row r="63" spans="2:30" hidden="1">
      <c r="B63" s="69" t="s">
        <v>9</v>
      </c>
      <c r="C63" s="70" t="s">
        <v>27</v>
      </c>
      <c r="D63" s="70" t="s">
        <v>11</v>
      </c>
      <c r="E63" s="71" t="s">
        <v>39</v>
      </c>
      <c r="F63" s="72">
        <v>153</v>
      </c>
      <c r="G63" s="73">
        <v>12.42</v>
      </c>
      <c r="H63" s="84">
        <v>0</v>
      </c>
      <c r="I63" s="35">
        <f t="shared" si="35"/>
        <v>1900.26</v>
      </c>
      <c r="J63" s="33">
        <f t="shared" si="36"/>
        <v>12.42</v>
      </c>
      <c r="K63" s="71" t="s">
        <v>43</v>
      </c>
      <c r="L63" s="73">
        <v>15.91</v>
      </c>
      <c r="M63" s="84">
        <v>0</v>
      </c>
      <c r="N63" s="35">
        <f t="shared" si="40"/>
        <v>2434.23</v>
      </c>
      <c r="O63" s="33">
        <f t="shared" si="37"/>
        <v>15.91</v>
      </c>
      <c r="P63" s="31">
        <f t="shared" si="38"/>
        <v>533.97</v>
      </c>
      <c r="Q63" s="15">
        <f t="shared" si="39"/>
        <v>0.28099838969404189</v>
      </c>
    </row>
    <row r="64" spans="2:30">
      <c r="B64" s="77" t="s">
        <v>9</v>
      </c>
      <c r="C64" s="78" t="s">
        <v>17</v>
      </c>
      <c r="D64" s="78" t="s">
        <v>11</v>
      </c>
      <c r="E64" s="79" t="s">
        <v>40</v>
      </c>
      <c r="F64" s="80">
        <v>160</v>
      </c>
      <c r="G64" s="81">
        <v>18.02</v>
      </c>
      <c r="H64" s="89">
        <v>0</v>
      </c>
      <c r="I64" s="63">
        <f t="shared" si="35"/>
        <v>2883.2</v>
      </c>
      <c r="J64" s="64">
        <f t="shared" si="36"/>
        <v>18.02</v>
      </c>
      <c r="K64" s="79" t="s">
        <v>44</v>
      </c>
      <c r="L64" s="81">
        <v>20.6325</v>
      </c>
      <c r="M64" s="89">
        <v>0</v>
      </c>
      <c r="N64" s="63">
        <f t="shared" si="40"/>
        <v>3301.2</v>
      </c>
      <c r="O64" s="64">
        <f t="shared" si="37"/>
        <v>20.6325</v>
      </c>
      <c r="P64" s="59">
        <f t="shared" si="38"/>
        <v>418</v>
      </c>
      <c r="Q64" s="61">
        <f t="shared" si="39"/>
        <v>0.14497780244173142</v>
      </c>
      <c r="R64" s="609">
        <f>SUM(P64:P66)</f>
        <v>4632.8526111111087</v>
      </c>
      <c r="S64" s="608">
        <v>2001</v>
      </c>
    </row>
    <row r="65" spans="1:19" hidden="1">
      <c r="B65" s="52" t="s">
        <v>9</v>
      </c>
      <c r="C65" s="53" t="s">
        <v>13</v>
      </c>
      <c r="D65" s="53" t="s">
        <v>38</v>
      </c>
      <c r="E65" s="54" t="s">
        <v>41</v>
      </c>
      <c r="F65" s="55">
        <v>635</v>
      </c>
      <c r="G65" s="56">
        <v>9.5299999999999994</v>
      </c>
      <c r="H65" s="83">
        <v>0</v>
      </c>
      <c r="I65" s="34">
        <f t="shared" si="35"/>
        <v>6051.5499999999993</v>
      </c>
      <c r="J65" s="32">
        <f t="shared" si="36"/>
        <v>9.5299999999999994</v>
      </c>
      <c r="K65" s="54" t="s">
        <v>45</v>
      </c>
      <c r="L65" s="56">
        <v>16.886944881889761</v>
      </c>
      <c r="M65" s="83">
        <v>0</v>
      </c>
      <c r="N65" s="34">
        <f t="shared" si="40"/>
        <v>10723.209999999997</v>
      </c>
      <c r="O65" s="32">
        <f t="shared" si="37"/>
        <v>16.886944881889761</v>
      </c>
      <c r="P65" s="30">
        <f t="shared" si="38"/>
        <v>4671.659999999998</v>
      </c>
      <c r="Q65" s="7">
        <f t="shared" si="39"/>
        <v>0.77197742727069896</v>
      </c>
    </row>
    <row r="66" spans="1:19" hidden="1">
      <c r="B66" s="69" t="s">
        <v>9</v>
      </c>
      <c r="C66" s="70" t="s">
        <v>17</v>
      </c>
      <c r="D66" s="70" t="s">
        <v>11</v>
      </c>
      <c r="E66" s="71" t="s">
        <v>29</v>
      </c>
      <c r="F66" s="72">
        <v>353</v>
      </c>
      <c r="G66" s="73">
        <v>17.108944444444447</v>
      </c>
      <c r="H66" s="84">
        <v>0</v>
      </c>
      <c r="I66" s="35">
        <f t="shared" si="35"/>
        <v>6039.4573888888899</v>
      </c>
      <c r="J66" s="33">
        <f t="shared" si="36"/>
        <v>17.108944444444447</v>
      </c>
      <c r="K66" s="71" t="s">
        <v>46</v>
      </c>
      <c r="L66" s="73">
        <v>15.81487252124646</v>
      </c>
      <c r="M66" s="84">
        <v>0</v>
      </c>
      <c r="N66" s="35">
        <f t="shared" si="40"/>
        <v>5582.6500000000005</v>
      </c>
      <c r="O66" s="33">
        <f t="shared" si="37"/>
        <v>15.81487252124646</v>
      </c>
      <c r="P66" s="31">
        <f t="shared" si="38"/>
        <v>-456.80738888888936</v>
      </c>
      <c r="Q66" s="15">
        <f t="shared" si="39"/>
        <v>-7.5637157359418103E-2</v>
      </c>
    </row>
    <row r="67" spans="1:19">
      <c r="B67" s="77" t="s">
        <v>9</v>
      </c>
      <c r="C67" s="78" t="s">
        <v>28</v>
      </c>
      <c r="D67" s="78" t="s">
        <v>11</v>
      </c>
      <c r="E67" s="79" t="s">
        <v>47</v>
      </c>
      <c r="F67" s="80">
        <v>475</v>
      </c>
      <c r="G67" s="81">
        <f>2992.5/475</f>
        <v>6.3</v>
      </c>
      <c r="H67" s="89">
        <f>(3.97+7)/475</f>
        <v>2.3094736842105265E-2</v>
      </c>
      <c r="I67" s="63">
        <f t="shared" si="35"/>
        <v>3003.47</v>
      </c>
      <c r="J67" s="64">
        <f t="shared" si="36"/>
        <v>6.3230947368421049</v>
      </c>
      <c r="K67" s="79" t="s">
        <v>48</v>
      </c>
      <c r="L67" s="81">
        <f>3363/475</f>
        <v>7.08</v>
      </c>
      <c r="M67" s="89">
        <f>(8.41+5.4+10)/475</f>
        <v>5.0126315789473692E-2</v>
      </c>
      <c r="N67" s="63">
        <f t="shared" si="40"/>
        <v>3339.19</v>
      </c>
      <c r="O67" s="64">
        <f t="shared" si="37"/>
        <v>7.0298736842105267</v>
      </c>
      <c r="P67" s="59">
        <f t="shared" si="38"/>
        <v>335.72000000000025</v>
      </c>
      <c r="Q67" s="61">
        <f t="shared" si="39"/>
        <v>0.11177737750002506</v>
      </c>
      <c r="R67" s="609">
        <f>SUM(P67:P71)</f>
        <v>-897.15555555555557</v>
      </c>
      <c r="S67" s="608">
        <v>2002</v>
      </c>
    </row>
    <row r="68" spans="1:19" hidden="1">
      <c r="B68" s="52" t="s">
        <v>15</v>
      </c>
      <c r="C68" s="53" t="s">
        <v>16</v>
      </c>
      <c r="D68" s="53" t="s">
        <v>11</v>
      </c>
      <c r="E68" s="54" t="s">
        <v>14</v>
      </c>
      <c r="F68" s="55">
        <v>220</v>
      </c>
      <c r="G68" s="56">
        <v>19</v>
      </c>
      <c r="H68" s="83">
        <v>0</v>
      </c>
      <c r="I68" s="34">
        <f t="shared" si="35"/>
        <v>4180</v>
      </c>
      <c r="J68" s="32">
        <f t="shared" si="36"/>
        <v>19</v>
      </c>
      <c r="K68" s="54" t="s">
        <v>49</v>
      </c>
      <c r="L68" s="56">
        <v>12.4</v>
      </c>
      <c r="M68" s="83">
        <f>+(3.97+7)/225</f>
        <v>4.8755555555555559E-2</v>
      </c>
      <c r="N68" s="34">
        <f t="shared" si="40"/>
        <v>2717.2737777777779</v>
      </c>
      <c r="O68" s="32">
        <f t="shared" si="37"/>
        <v>12.351244444444445</v>
      </c>
      <c r="P68" s="30">
        <f t="shared" si="38"/>
        <v>-1462.7262222222221</v>
      </c>
      <c r="Q68" s="7">
        <f t="shared" si="39"/>
        <v>-0.3499345029239766</v>
      </c>
    </row>
    <row r="69" spans="1:19" hidden="1">
      <c r="B69" s="52" t="s">
        <v>9</v>
      </c>
      <c r="C69" s="53" t="s">
        <v>16</v>
      </c>
      <c r="D69" s="53" t="s">
        <v>11</v>
      </c>
      <c r="E69" s="76">
        <v>37274</v>
      </c>
      <c r="F69" s="55">
        <v>5</v>
      </c>
      <c r="G69" s="56">
        <v>13.636355555555557</v>
      </c>
      <c r="H69" s="83">
        <v>4.8755555555555559E-2</v>
      </c>
      <c r="I69" s="34">
        <f t="shared" si="35"/>
        <v>68.425555555555562</v>
      </c>
      <c r="J69" s="32">
        <f t="shared" si="36"/>
        <v>13.685111111111112</v>
      </c>
      <c r="K69" s="54" t="s">
        <v>49</v>
      </c>
      <c r="L69" s="56">
        <v>12.4</v>
      </c>
      <c r="M69" s="83">
        <f>+(3.97+7)/225</f>
        <v>4.8755555555555559E-2</v>
      </c>
      <c r="N69" s="34">
        <f>+(L69-M69)*F69</f>
        <v>61.756222222222227</v>
      </c>
      <c r="O69" s="32">
        <f t="shared" si="37"/>
        <v>12.351244444444445</v>
      </c>
      <c r="P69" s="30">
        <f t="shared" si="38"/>
        <v>-6.6693333333333342</v>
      </c>
      <c r="Q69" s="7">
        <f t="shared" si="39"/>
        <v>-9.7468457204098538E-2</v>
      </c>
    </row>
    <row r="70" spans="1:19" hidden="1">
      <c r="B70" s="52" t="s">
        <v>9</v>
      </c>
      <c r="C70" s="53" t="s">
        <v>28</v>
      </c>
      <c r="D70" s="53" t="s">
        <v>11</v>
      </c>
      <c r="E70" s="54" t="s">
        <v>49</v>
      </c>
      <c r="F70" s="55">
        <v>577</v>
      </c>
      <c r="G70" s="56">
        <f>3063.87/577</f>
        <v>5.31</v>
      </c>
      <c r="H70" s="83">
        <f>(5.4+7)/577</f>
        <v>2.149046793760832E-2</v>
      </c>
      <c r="I70" s="34">
        <f t="shared" si="35"/>
        <v>3076.27</v>
      </c>
      <c r="J70" s="32">
        <f t="shared" si="36"/>
        <v>5.3314904679376083</v>
      </c>
      <c r="K70" s="54" t="s">
        <v>50</v>
      </c>
      <c r="L70" s="56">
        <f>3606.25/577</f>
        <v>6.25</v>
      </c>
      <c r="M70" s="83">
        <f>(5.4+7)/577</f>
        <v>2.149046793760832E-2</v>
      </c>
      <c r="N70" s="34">
        <f t="shared" si="40"/>
        <v>3593.85</v>
      </c>
      <c r="O70" s="32">
        <f t="shared" si="37"/>
        <v>6.2285095320623913</v>
      </c>
      <c r="P70" s="30">
        <f t="shared" si="38"/>
        <v>517.57999999999993</v>
      </c>
      <c r="Q70" s="7">
        <f t="shared" si="39"/>
        <v>0.16824921089501244</v>
      </c>
    </row>
    <row r="71" spans="1:19" hidden="1">
      <c r="B71" s="69" t="s">
        <v>9</v>
      </c>
      <c r="C71" s="70" t="s">
        <v>13</v>
      </c>
      <c r="D71" s="70" t="s">
        <v>11</v>
      </c>
      <c r="E71" s="71" t="s">
        <v>14</v>
      </c>
      <c r="F71" s="72">
        <v>266</v>
      </c>
      <c r="G71" s="73">
        <v>14.48</v>
      </c>
      <c r="H71" s="84">
        <v>0</v>
      </c>
      <c r="I71" s="35">
        <f t="shared" si="35"/>
        <v>3851.6800000000003</v>
      </c>
      <c r="J71" s="33">
        <f t="shared" si="36"/>
        <v>14.48</v>
      </c>
      <c r="K71" s="71" t="s">
        <v>51</v>
      </c>
      <c r="L71" s="73">
        <f>3583.02/266</f>
        <v>13.47</v>
      </c>
      <c r="M71" s="84">
        <f>(5.4+7)/266</f>
        <v>4.6616541353383459E-2</v>
      </c>
      <c r="N71" s="35">
        <f t="shared" si="40"/>
        <v>3570.62</v>
      </c>
      <c r="O71" s="33">
        <f t="shared" si="37"/>
        <v>13.423383458646617</v>
      </c>
      <c r="P71" s="31">
        <f t="shared" si="38"/>
        <v>-281.0600000000004</v>
      </c>
      <c r="Q71" s="15">
        <f t="shared" si="39"/>
        <v>-7.2970755618327679E-2</v>
      </c>
    </row>
    <row r="72" spans="1:19">
      <c r="B72" s="77" t="s">
        <v>9</v>
      </c>
      <c r="C72" s="78" t="s">
        <v>10</v>
      </c>
      <c r="D72" s="78" t="s">
        <v>11</v>
      </c>
      <c r="E72" s="79" t="s">
        <v>12</v>
      </c>
      <c r="F72" s="80">
        <v>560</v>
      </c>
      <c r="G72" s="81">
        <v>20.27</v>
      </c>
      <c r="H72" s="89">
        <v>0</v>
      </c>
      <c r="I72" s="63">
        <f t="shared" ref="I72:I79" si="41">+(G72+H72)*F72</f>
        <v>11351.199999999999</v>
      </c>
      <c r="J72" s="64">
        <f t="shared" si="36"/>
        <v>20.27</v>
      </c>
      <c r="K72" s="79" t="s">
        <v>66</v>
      </c>
      <c r="L72" s="81">
        <v>11.89</v>
      </c>
      <c r="M72" s="89"/>
      <c r="N72" s="63">
        <f t="shared" ref="N72:N78" si="42">+(L72-M72)*F72</f>
        <v>6658.4000000000005</v>
      </c>
      <c r="O72" s="64">
        <f t="shared" si="37"/>
        <v>11.89</v>
      </c>
      <c r="P72" s="59">
        <f t="shared" si="38"/>
        <v>-4692.7999999999984</v>
      </c>
      <c r="Q72" s="61">
        <f t="shared" si="39"/>
        <v>-0.41341884558460767</v>
      </c>
      <c r="R72" s="609">
        <f>SUM(P72:P80)</f>
        <v>2567.2055555555603</v>
      </c>
      <c r="S72" s="608">
        <v>2003</v>
      </c>
    </row>
    <row r="73" spans="1:19" hidden="1">
      <c r="B73" s="52" t="s">
        <v>9</v>
      </c>
      <c r="C73" s="53" t="s">
        <v>16</v>
      </c>
      <c r="D73" s="53" t="s">
        <v>11</v>
      </c>
      <c r="E73" s="76" t="s">
        <v>67</v>
      </c>
      <c r="F73" s="55">
        <v>145</v>
      </c>
      <c r="G73" s="56">
        <f>3079.15/225-H73</f>
        <v>13.636355555555557</v>
      </c>
      <c r="H73" s="228">
        <f>(3.97+7)/225</f>
        <v>4.8755555555555559E-2</v>
      </c>
      <c r="I73" s="34">
        <f t="shared" si="41"/>
        <v>1984.3411111111113</v>
      </c>
      <c r="J73" s="32">
        <f t="shared" si="36"/>
        <v>13.685111111111112</v>
      </c>
      <c r="K73" s="131">
        <v>37677</v>
      </c>
      <c r="L73" s="56">
        <v>13.04</v>
      </c>
      <c r="M73" s="83">
        <f>+(3.97+3.5+0.24)/145</f>
        <v>5.3172413793103453E-2</v>
      </c>
      <c r="N73" s="34">
        <f t="shared" si="42"/>
        <v>1883.09</v>
      </c>
      <c r="O73" s="32">
        <f t="shared" si="37"/>
        <v>12.986827586206896</v>
      </c>
      <c r="P73" s="30">
        <f t="shared" si="38"/>
        <v>-101.25111111111141</v>
      </c>
      <c r="Q73" s="7">
        <f t="shared" si="39"/>
        <v>-5.1025053376239783E-2</v>
      </c>
    </row>
    <row r="74" spans="1:19" hidden="1">
      <c r="B74" s="52" t="s">
        <v>9</v>
      </c>
      <c r="C74" s="53" t="s">
        <v>16</v>
      </c>
      <c r="D74" s="53" t="s">
        <v>11</v>
      </c>
      <c r="E74" s="76" t="s">
        <v>67</v>
      </c>
      <c r="F74" s="55">
        <v>75</v>
      </c>
      <c r="G74" s="56">
        <f>3079.15/225-H74</f>
        <v>13.636355555555557</v>
      </c>
      <c r="H74" s="228">
        <f>(3.97+7)/225</f>
        <v>4.8755555555555559E-2</v>
      </c>
      <c r="I74" s="34">
        <f t="shared" si="41"/>
        <v>1026.3833333333334</v>
      </c>
      <c r="J74" s="32">
        <f t="shared" si="36"/>
        <v>13.685111111111112</v>
      </c>
      <c r="K74" s="131">
        <v>37677</v>
      </c>
      <c r="L74" s="56">
        <v>13.05</v>
      </c>
      <c r="M74" s="83">
        <f>+(2.53+3.5+0.24)/75</f>
        <v>8.3599999999999994E-2</v>
      </c>
      <c r="N74" s="34">
        <f t="shared" si="42"/>
        <v>972.48</v>
      </c>
      <c r="O74" s="32">
        <f t="shared" si="37"/>
        <v>12.9664</v>
      </c>
      <c r="P74" s="30">
        <f t="shared" si="38"/>
        <v>-53.903333333333421</v>
      </c>
      <c r="Q74" s="7">
        <f t="shared" si="39"/>
        <v>-5.2517740285468476E-2</v>
      </c>
    </row>
    <row r="75" spans="1:19" hidden="1">
      <c r="B75" s="52" t="s">
        <v>9</v>
      </c>
      <c r="C75" s="53" t="s">
        <v>28</v>
      </c>
      <c r="D75" s="53" t="s">
        <v>11</v>
      </c>
      <c r="E75" s="76">
        <v>37692</v>
      </c>
      <c r="F75" s="55">
        <v>610</v>
      </c>
      <c r="G75" s="56">
        <v>5.14</v>
      </c>
      <c r="H75" s="229">
        <f>(7+5.4)/610</f>
        <v>2.0327868852459016E-2</v>
      </c>
      <c r="I75" s="34">
        <f t="shared" si="41"/>
        <v>3147.8</v>
      </c>
      <c r="J75" s="32">
        <f t="shared" ref="J75:J81" si="43">+I75/F75</f>
        <v>5.160327868852459</v>
      </c>
      <c r="K75" s="131">
        <v>37694</v>
      </c>
      <c r="L75" s="56">
        <v>5.62</v>
      </c>
      <c r="M75" s="83">
        <f>(7+5.4)/610</f>
        <v>2.0327868852459016E-2</v>
      </c>
      <c r="N75" s="34">
        <f t="shared" si="42"/>
        <v>3415.7999999999997</v>
      </c>
      <c r="O75" s="32">
        <f t="shared" ref="O75:O81" si="44">+N75/F75</f>
        <v>5.5996721311475408</v>
      </c>
      <c r="P75" s="30">
        <f t="shared" ref="P75:P81" si="45">+N75-I75</f>
        <v>267.99999999999955</v>
      </c>
      <c r="Q75" s="7">
        <f t="shared" ref="Q75:Q81" si="46">+P75/I75</f>
        <v>8.5138827117351656E-2</v>
      </c>
    </row>
    <row r="76" spans="1:19" hidden="1">
      <c r="B76" s="52" t="s">
        <v>9</v>
      </c>
      <c r="C76" s="53" t="s">
        <v>27</v>
      </c>
      <c r="D76" s="53" t="s">
        <v>11</v>
      </c>
      <c r="E76" s="76" t="s">
        <v>68</v>
      </c>
      <c r="F76" s="55">
        <v>781</v>
      </c>
      <c r="G76" s="82">
        <v>8.4700000000000006</v>
      </c>
      <c r="H76" s="228">
        <f>(14.26)/781</f>
        <v>1.8258642765685017E-2</v>
      </c>
      <c r="I76" s="34">
        <f t="shared" si="41"/>
        <v>6629.3300000000008</v>
      </c>
      <c r="J76" s="32">
        <f t="shared" si="43"/>
        <v>8.4882586427656861</v>
      </c>
      <c r="K76" s="131" t="s">
        <v>99</v>
      </c>
      <c r="L76" s="56">
        <v>9.1</v>
      </c>
      <c r="M76" s="83">
        <f>+(7+8.47+0.24)/2711</f>
        <v>5.794909627443748E-3</v>
      </c>
      <c r="N76" s="34">
        <f t="shared" si="42"/>
        <v>7102.5741755809668</v>
      </c>
      <c r="O76" s="32">
        <f t="shared" si="44"/>
        <v>9.0942050903725562</v>
      </c>
      <c r="P76" s="30">
        <f t="shared" si="45"/>
        <v>473.24417558096593</v>
      </c>
      <c r="Q76" s="7">
        <f t="shared" si="46"/>
        <v>7.1386426016047749E-2</v>
      </c>
    </row>
    <row r="77" spans="1:19" hidden="1">
      <c r="B77" s="52" t="s">
        <v>9</v>
      </c>
      <c r="C77" s="53" t="s">
        <v>27</v>
      </c>
      <c r="D77" s="53" t="s">
        <v>11</v>
      </c>
      <c r="E77" s="54" t="s">
        <v>69</v>
      </c>
      <c r="F77" s="55">
        <v>1550</v>
      </c>
      <c r="G77" s="56">
        <v>7.77</v>
      </c>
      <c r="H77" s="229">
        <f>14.26/1550</f>
        <v>9.1999999999999998E-3</v>
      </c>
      <c r="I77" s="34">
        <f t="shared" si="41"/>
        <v>12057.759999999998</v>
      </c>
      <c r="J77" s="32">
        <f t="shared" si="43"/>
        <v>7.7791999999999986</v>
      </c>
      <c r="K77" s="131" t="s">
        <v>99</v>
      </c>
      <c r="L77" s="56">
        <v>9.1</v>
      </c>
      <c r="M77" s="83">
        <f>+M76</f>
        <v>5.794909627443748E-3</v>
      </c>
      <c r="N77" s="34">
        <f t="shared" si="42"/>
        <v>14096.017890077463</v>
      </c>
      <c r="O77" s="32">
        <f t="shared" si="44"/>
        <v>9.0942050903725562</v>
      </c>
      <c r="P77" s="30">
        <f t="shared" si="45"/>
        <v>2038.2578900774643</v>
      </c>
      <c r="Q77" s="7">
        <f t="shared" si="46"/>
        <v>0.16904117266204208</v>
      </c>
    </row>
    <row r="78" spans="1:19" hidden="1">
      <c r="A78" s="1" t="s">
        <v>133</v>
      </c>
      <c r="B78" s="52" t="s">
        <v>9</v>
      </c>
      <c r="C78" s="53" t="s">
        <v>27</v>
      </c>
      <c r="D78" s="53" t="s">
        <v>11</v>
      </c>
      <c r="E78" s="76">
        <v>37677</v>
      </c>
      <c r="F78" s="55">
        <v>380</v>
      </c>
      <c r="G78" s="56">
        <v>7.64</v>
      </c>
      <c r="H78" s="229">
        <f>+(7+3.97+0.24)/380</f>
        <v>2.9500000000000002E-2</v>
      </c>
      <c r="I78" s="34">
        <f t="shared" si="41"/>
        <v>2914.41</v>
      </c>
      <c r="J78" s="32">
        <f t="shared" si="43"/>
        <v>7.6694999999999993</v>
      </c>
      <c r="K78" s="131" t="s">
        <v>99</v>
      </c>
      <c r="L78" s="56">
        <v>9.1</v>
      </c>
      <c r="M78" s="83">
        <f>+M77</f>
        <v>5.794909627443748E-3</v>
      </c>
      <c r="N78" s="34">
        <f t="shared" si="42"/>
        <v>3455.7979343415714</v>
      </c>
      <c r="O78" s="32">
        <f t="shared" si="44"/>
        <v>9.0942050903725562</v>
      </c>
      <c r="P78" s="30">
        <f t="shared" si="45"/>
        <v>541.38793434157151</v>
      </c>
      <c r="Q78" s="7">
        <f t="shared" si="46"/>
        <v>0.18576244740498815</v>
      </c>
    </row>
    <row r="79" spans="1:19" hidden="1">
      <c r="A79" s="1" t="s">
        <v>135</v>
      </c>
      <c r="B79" s="52" t="s">
        <v>9</v>
      </c>
      <c r="C79" s="53" t="s">
        <v>27</v>
      </c>
      <c r="D79" s="53" t="s">
        <v>11</v>
      </c>
      <c r="E79" s="76">
        <v>37749</v>
      </c>
      <c r="F79" s="55">
        <v>1500</v>
      </c>
      <c r="G79" s="56">
        <v>8.25</v>
      </c>
      <c r="H79" s="229">
        <f>14.26/1500</f>
        <v>9.5066666666666667E-3</v>
      </c>
      <c r="I79" s="34">
        <f t="shared" si="41"/>
        <v>12389.26</v>
      </c>
      <c r="J79" s="32">
        <f t="shared" si="43"/>
        <v>8.2595066666666668</v>
      </c>
      <c r="K79" s="131" t="s">
        <v>131</v>
      </c>
      <c r="L79" s="56">
        <v>9.49</v>
      </c>
      <c r="M79" s="83">
        <f>+(7+8.47+0.24)/3050</f>
        <v>5.1508196721311477E-3</v>
      </c>
      <c r="N79" s="34">
        <f t="shared" ref="N79:N85" si="47">+(L79-M79)*F79</f>
        <v>14227.273770491804</v>
      </c>
      <c r="O79" s="32">
        <f t="shared" si="44"/>
        <v>9.4848491803278687</v>
      </c>
      <c r="P79" s="30">
        <f t="shared" si="45"/>
        <v>1838.0137704918034</v>
      </c>
      <c r="Q79" s="7">
        <f t="shared" si="46"/>
        <v>0.1483554119044885</v>
      </c>
    </row>
    <row r="80" spans="1:19" hidden="1">
      <c r="A80" s="1" t="s">
        <v>135</v>
      </c>
      <c r="B80" s="69" t="s">
        <v>9</v>
      </c>
      <c r="C80" s="70" t="s">
        <v>27</v>
      </c>
      <c r="D80" s="70" t="s">
        <v>11</v>
      </c>
      <c r="E80" s="180">
        <v>37762</v>
      </c>
      <c r="F80" s="72">
        <v>1550</v>
      </c>
      <c r="G80" s="73">
        <v>8.02</v>
      </c>
      <c r="H80" s="230">
        <f>14.26/1550</f>
        <v>9.1999999999999998E-3</v>
      </c>
      <c r="I80" s="35">
        <f t="shared" ref="I80:I87" si="48">+(G80+H80)*F80</f>
        <v>12445.259999999998</v>
      </c>
      <c r="J80" s="33">
        <f t="shared" si="43"/>
        <v>8.0291999999999994</v>
      </c>
      <c r="K80" s="271" t="s">
        <v>131</v>
      </c>
      <c r="L80" s="73">
        <v>9.49</v>
      </c>
      <c r="M80" s="84">
        <f>+(7+8.47+0.24)/3050</f>
        <v>5.1508196721311477E-3</v>
      </c>
      <c r="N80" s="35">
        <f t="shared" si="47"/>
        <v>14701.516229508197</v>
      </c>
      <c r="O80" s="33">
        <f t="shared" si="44"/>
        <v>9.4848491803278687</v>
      </c>
      <c r="P80" s="31">
        <f t="shared" si="45"/>
        <v>2256.2562295081989</v>
      </c>
      <c r="Q80" s="15">
        <f t="shared" si="46"/>
        <v>0.18129442289740827</v>
      </c>
    </row>
    <row r="81" spans="1:19">
      <c r="A81" s="1" t="s">
        <v>138</v>
      </c>
      <c r="B81" s="77" t="s">
        <v>9</v>
      </c>
      <c r="C81" s="78" t="s">
        <v>27</v>
      </c>
      <c r="D81" s="78" t="s">
        <v>11</v>
      </c>
      <c r="E81" s="79">
        <v>37823</v>
      </c>
      <c r="F81" s="80">
        <v>850</v>
      </c>
      <c r="G81" s="81">
        <v>9.1</v>
      </c>
      <c r="H81" s="89">
        <f>+(7+8.47+0.24)/+F81</f>
        <v>1.8482352941176471E-2</v>
      </c>
      <c r="I81" s="63">
        <f t="shared" si="48"/>
        <v>7750.71</v>
      </c>
      <c r="J81" s="64">
        <f t="shared" si="43"/>
        <v>9.1184823529411769</v>
      </c>
      <c r="K81" s="79">
        <v>38218</v>
      </c>
      <c r="L81" s="81">
        <v>10.96</v>
      </c>
      <c r="M81" s="89">
        <f>+(7.27+6.05)/850</f>
        <v>1.5670588235294117E-2</v>
      </c>
      <c r="N81" s="63">
        <f t="shared" si="47"/>
        <v>9302.6800000000021</v>
      </c>
      <c r="O81" s="64">
        <f t="shared" si="44"/>
        <v>10.944329411764709</v>
      </c>
      <c r="P81" s="59">
        <f t="shared" si="45"/>
        <v>1551.9700000000021</v>
      </c>
      <c r="Q81" s="61">
        <f t="shared" si="46"/>
        <v>0.20023584936089753</v>
      </c>
      <c r="R81" s="609">
        <f>SUM(P81:P90)</f>
        <v>11952.33485714286</v>
      </c>
      <c r="S81" s="608">
        <v>2004</v>
      </c>
    </row>
    <row r="82" spans="1:19" hidden="1">
      <c r="A82" s="1" t="s">
        <v>138</v>
      </c>
      <c r="B82" s="52" t="s">
        <v>9</v>
      </c>
      <c r="C82" s="233" t="s">
        <v>27</v>
      </c>
      <c r="D82" s="53" t="s">
        <v>11</v>
      </c>
      <c r="E82" s="76">
        <v>37823</v>
      </c>
      <c r="F82" s="55">
        <v>850</v>
      </c>
      <c r="G82" s="56">
        <v>9.1</v>
      </c>
      <c r="H82" s="229">
        <f>+(7+8.47+0.24)/+F82</f>
        <v>1.8482352941176471E-2</v>
      </c>
      <c r="I82" s="30">
        <f t="shared" si="48"/>
        <v>7750.71</v>
      </c>
      <c r="J82" s="32">
        <f t="shared" ref="J82:J94" si="49">+I82/F82</f>
        <v>9.1184823529411769</v>
      </c>
      <c r="K82" s="131">
        <v>38218</v>
      </c>
      <c r="L82" s="56">
        <v>11.56</v>
      </c>
      <c r="M82" s="83">
        <f>+(7.25+7+0.27)/F82</f>
        <v>1.7082352941176469E-2</v>
      </c>
      <c r="N82" s="34">
        <f t="shared" si="47"/>
        <v>9811.48</v>
      </c>
      <c r="O82" s="32">
        <f t="shared" ref="O82:O90" si="50">+N82/F82</f>
        <v>11.542917647058824</v>
      </c>
      <c r="P82" s="30">
        <f t="shared" ref="P82:P90" si="51">+N82-I82</f>
        <v>2060.7699999999995</v>
      </c>
      <c r="Q82" s="7">
        <f t="shared" ref="Q82:Q90" si="52">+P82/I82</f>
        <v>0.26588144828022203</v>
      </c>
    </row>
    <row r="83" spans="1:19" hidden="1">
      <c r="A83" s="1" t="s">
        <v>138</v>
      </c>
      <c r="B83" s="52" t="s">
        <v>9</v>
      </c>
      <c r="C83" s="233" t="s">
        <v>27</v>
      </c>
      <c r="D83" s="53" t="s">
        <v>11</v>
      </c>
      <c r="E83" s="76">
        <v>37874</v>
      </c>
      <c r="F83" s="55">
        <v>650</v>
      </c>
      <c r="G83" s="56">
        <v>9.7100000000000009</v>
      </c>
      <c r="H83" s="229">
        <f>14.26/650</f>
        <v>2.1938461538461539E-2</v>
      </c>
      <c r="I83" s="30">
        <f t="shared" si="48"/>
        <v>6325.76</v>
      </c>
      <c r="J83" s="32">
        <f t="shared" si="49"/>
        <v>9.7319384615384621</v>
      </c>
      <c r="K83" s="131">
        <v>38218</v>
      </c>
      <c r="L83" s="56">
        <v>11.56</v>
      </c>
      <c r="M83" s="83">
        <f>+(7.25+7+0.27)/F83</f>
        <v>2.2338461538461536E-2</v>
      </c>
      <c r="N83" s="34">
        <f t="shared" si="47"/>
        <v>7499.48</v>
      </c>
      <c r="O83" s="32">
        <f t="shared" si="50"/>
        <v>11.537661538461538</v>
      </c>
      <c r="P83" s="30">
        <f t="shared" si="51"/>
        <v>1173.7199999999993</v>
      </c>
      <c r="Q83" s="7">
        <f t="shared" si="52"/>
        <v>0.18554608458114114</v>
      </c>
    </row>
    <row r="84" spans="1:19" hidden="1">
      <c r="A84" s="1" t="s">
        <v>138</v>
      </c>
      <c r="B84" s="52" t="s">
        <v>9</v>
      </c>
      <c r="C84" s="233" t="s">
        <v>27</v>
      </c>
      <c r="D84" s="53" t="s">
        <v>11</v>
      </c>
      <c r="E84" s="76">
        <v>37876</v>
      </c>
      <c r="F84" s="55">
        <v>670</v>
      </c>
      <c r="G84" s="56">
        <v>9.4600000000000009</v>
      </c>
      <c r="H84" s="229">
        <f>14.26/670</f>
        <v>2.1283582089552239E-2</v>
      </c>
      <c r="I84" s="30">
        <f t="shared" si="48"/>
        <v>6352.46</v>
      </c>
      <c r="J84" s="32">
        <f t="shared" si="49"/>
        <v>9.4812835820895529</v>
      </c>
      <c r="K84" s="131">
        <v>38282</v>
      </c>
      <c r="L84" s="56">
        <v>12.08</v>
      </c>
      <c r="M84" s="83">
        <f>+(7.1+7+0.27)/1350</f>
        <v>1.0644444444444444E-2</v>
      </c>
      <c r="N84" s="34">
        <f t="shared" si="47"/>
        <v>8086.4682222222218</v>
      </c>
      <c r="O84" s="32">
        <f t="shared" si="50"/>
        <v>12.069355555555555</v>
      </c>
      <c r="P84" s="30">
        <f t="shared" si="51"/>
        <v>1734.0082222222218</v>
      </c>
      <c r="Q84" s="7">
        <f t="shared" si="52"/>
        <v>0.27296641336147281</v>
      </c>
    </row>
    <row r="85" spans="1:19" hidden="1">
      <c r="A85" s="1" t="s">
        <v>138</v>
      </c>
      <c r="B85" s="52" t="s">
        <v>9</v>
      </c>
      <c r="C85" s="233" t="s">
        <v>27</v>
      </c>
      <c r="D85" s="53" t="s">
        <v>11</v>
      </c>
      <c r="E85" s="76">
        <v>37886</v>
      </c>
      <c r="F85" s="55">
        <v>680</v>
      </c>
      <c r="G85" s="56">
        <v>9.35</v>
      </c>
      <c r="H85" s="229">
        <f>14.26/680</f>
        <v>2.0970588235294116E-2</v>
      </c>
      <c r="I85" s="30">
        <f t="shared" si="48"/>
        <v>6372.2599999999993</v>
      </c>
      <c r="J85" s="32">
        <f t="shared" si="49"/>
        <v>9.3709705882352932</v>
      </c>
      <c r="K85" s="131">
        <v>38282</v>
      </c>
      <c r="L85" s="56">
        <v>12.08</v>
      </c>
      <c r="M85" s="83">
        <f>+(7.1+7+0.27)/1350</f>
        <v>1.0644444444444444E-2</v>
      </c>
      <c r="N85" s="34">
        <f t="shared" si="47"/>
        <v>8207.1617777777774</v>
      </c>
      <c r="O85" s="32">
        <f t="shared" si="50"/>
        <v>12.069355555555555</v>
      </c>
      <c r="P85" s="30">
        <f t="shared" si="51"/>
        <v>1834.9017777777781</v>
      </c>
      <c r="Q85" s="7">
        <f t="shared" si="52"/>
        <v>0.28795149252820479</v>
      </c>
    </row>
    <row r="86" spans="1:19" hidden="1">
      <c r="B86" s="52" t="s">
        <v>9</v>
      </c>
      <c r="C86" s="233" t="s">
        <v>10</v>
      </c>
      <c r="D86" s="53" t="s">
        <v>11</v>
      </c>
      <c r="E86" s="76">
        <v>35955</v>
      </c>
      <c r="F86" s="55">
        <f>718-560</f>
        <v>158</v>
      </c>
      <c r="G86" s="56">
        <v>20.27</v>
      </c>
      <c r="H86" s="229">
        <v>0</v>
      </c>
      <c r="I86" s="30">
        <f t="shared" si="48"/>
        <v>3202.66</v>
      </c>
      <c r="J86" s="32">
        <f t="shared" si="49"/>
        <v>20.27</v>
      </c>
      <c r="K86" s="131">
        <v>38351</v>
      </c>
      <c r="L86" s="56">
        <v>17.28</v>
      </c>
      <c r="M86" s="83">
        <f>+(13.1)/455</f>
        <v>2.8791208791208792E-2</v>
      </c>
      <c r="N86" s="34">
        <f t="shared" ref="N86:N91" si="53">+(L86-M86)*F86</f>
        <v>2725.6909890109891</v>
      </c>
      <c r="O86" s="32">
        <f t="shared" si="50"/>
        <v>17.251208791208793</v>
      </c>
      <c r="P86" s="30">
        <f t="shared" si="51"/>
        <v>-476.96901098901071</v>
      </c>
      <c r="Q86" s="7">
        <f t="shared" si="52"/>
        <v>-0.14892901868728206</v>
      </c>
    </row>
    <row r="87" spans="1:19" hidden="1">
      <c r="B87" s="52" t="s">
        <v>9</v>
      </c>
      <c r="C87" s="233" t="s">
        <v>10</v>
      </c>
      <c r="D87" s="53" t="s">
        <v>11</v>
      </c>
      <c r="E87" s="76">
        <v>35955</v>
      </c>
      <c r="F87" s="55">
        <v>297</v>
      </c>
      <c r="G87" s="56">
        <v>20.27</v>
      </c>
      <c r="H87" s="229">
        <v>0</v>
      </c>
      <c r="I87" s="30">
        <f t="shared" si="48"/>
        <v>6020.19</v>
      </c>
      <c r="J87" s="32">
        <f t="shared" si="49"/>
        <v>20.27</v>
      </c>
      <c r="K87" s="131">
        <v>38351</v>
      </c>
      <c r="L87" s="56">
        <v>17.28</v>
      </c>
      <c r="M87" s="83">
        <f>+(13.1)/455</f>
        <v>2.8791208791208792E-2</v>
      </c>
      <c r="N87" s="34">
        <f t="shared" si="53"/>
        <v>5123.609010989011</v>
      </c>
      <c r="O87" s="32">
        <f t="shared" si="50"/>
        <v>17.251208791208793</v>
      </c>
      <c r="P87" s="30">
        <f t="shared" si="51"/>
        <v>-896.58098901098856</v>
      </c>
      <c r="Q87" s="7">
        <f t="shared" si="52"/>
        <v>-0.14892901868728206</v>
      </c>
    </row>
    <row r="88" spans="1:19" hidden="1">
      <c r="A88" s="1" t="s">
        <v>138</v>
      </c>
      <c r="B88" s="52" t="s">
        <v>9</v>
      </c>
      <c r="C88" s="233" t="s">
        <v>27</v>
      </c>
      <c r="D88" s="53" t="s">
        <v>11</v>
      </c>
      <c r="E88" s="76">
        <v>37888</v>
      </c>
      <c r="F88" s="55">
        <v>690</v>
      </c>
      <c r="G88" s="56">
        <v>9.2200000000000006</v>
      </c>
      <c r="H88" s="229">
        <f>14.26/690</f>
        <v>2.0666666666666667E-2</v>
      </c>
      <c r="I88" s="30">
        <f t="shared" ref="I88:I95" si="54">+(G88+H88)*F88</f>
        <v>6376.06</v>
      </c>
      <c r="J88" s="32">
        <f t="shared" si="49"/>
        <v>9.2406666666666677</v>
      </c>
      <c r="K88" s="131">
        <v>38351</v>
      </c>
      <c r="L88" s="56">
        <v>13.07</v>
      </c>
      <c r="M88" s="83">
        <f>13.88/1000</f>
        <v>1.388E-2</v>
      </c>
      <c r="N88" s="34">
        <f t="shared" si="53"/>
        <v>9008.7227999999996</v>
      </c>
      <c r="O88" s="32">
        <f t="shared" si="50"/>
        <v>13.05612</v>
      </c>
      <c r="P88" s="30">
        <f t="shared" si="51"/>
        <v>2632.6627999999992</v>
      </c>
      <c r="Q88" s="7">
        <f t="shared" si="52"/>
        <v>0.41289805930308043</v>
      </c>
    </row>
    <row r="89" spans="1:19" hidden="1">
      <c r="A89" s="1" t="s">
        <v>138</v>
      </c>
      <c r="B89" s="52" t="s">
        <v>9</v>
      </c>
      <c r="C89" s="233" t="s">
        <v>27</v>
      </c>
      <c r="D89" s="53" t="s">
        <v>11</v>
      </c>
      <c r="E89" s="76">
        <v>37890</v>
      </c>
      <c r="F89" s="55">
        <v>310</v>
      </c>
      <c r="G89" s="56">
        <v>9.0399999999999991</v>
      </c>
      <c r="H89" s="229">
        <f>14.26/700</f>
        <v>2.0371428571428572E-2</v>
      </c>
      <c r="I89" s="30">
        <f t="shared" si="54"/>
        <v>2808.7151428571424</v>
      </c>
      <c r="J89" s="32">
        <f t="shared" si="49"/>
        <v>9.0603714285714272</v>
      </c>
      <c r="K89" s="131">
        <v>38351</v>
      </c>
      <c r="L89" s="56">
        <v>13.07</v>
      </c>
      <c r="M89" s="83">
        <f>13.88/1000</f>
        <v>1.388E-2</v>
      </c>
      <c r="N89" s="34">
        <f t="shared" si="53"/>
        <v>4047.3971999999999</v>
      </c>
      <c r="O89" s="32">
        <f t="shared" si="50"/>
        <v>13.05612</v>
      </c>
      <c r="P89" s="30">
        <f t="shared" si="51"/>
        <v>1238.6820571428575</v>
      </c>
      <c r="Q89" s="7">
        <f t="shared" si="52"/>
        <v>0.44101377111628998</v>
      </c>
    </row>
    <row r="90" spans="1:19" hidden="1">
      <c r="B90" s="69" t="s">
        <v>9</v>
      </c>
      <c r="C90" s="232" t="s">
        <v>160</v>
      </c>
      <c r="D90" s="70" t="s">
        <v>11</v>
      </c>
      <c r="E90" s="180">
        <v>37967</v>
      </c>
      <c r="F90" s="72">
        <v>200</v>
      </c>
      <c r="G90" s="73">
        <v>16.100000000000001</v>
      </c>
      <c r="H90" s="230">
        <f>(7.02+7+0.24)/+F90</f>
        <v>7.1300000000000002E-2</v>
      </c>
      <c r="I90" s="31">
        <f t="shared" si="54"/>
        <v>3234.26</v>
      </c>
      <c r="J90" s="33">
        <f t="shared" si="49"/>
        <v>16.171300000000002</v>
      </c>
      <c r="K90" s="271">
        <v>38351</v>
      </c>
      <c r="L90" s="73">
        <v>21.73</v>
      </c>
      <c r="M90" s="84">
        <f>12.57/200</f>
        <v>6.2850000000000003E-2</v>
      </c>
      <c r="N90" s="35">
        <f t="shared" si="53"/>
        <v>4333.43</v>
      </c>
      <c r="O90" s="33">
        <f t="shared" si="50"/>
        <v>21.667150000000003</v>
      </c>
      <c r="P90" s="31">
        <f t="shared" si="51"/>
        <v>1099.17</v>
      </c>
      <c r="Q90" s="15">
        <f t="shared" si="52"/>
        <v>0.33985208362964014</v>
      </c>
    </row>
    <row r="91" spans="1:19">
      <c r="B91" s="77" t="s">
        <v>9</v>
      </c>
      <c r="C91" s="78" t="s">
        <v>160</v>
      </c>
      <c r="D91" s="78" t="s">
        <v>11</v>
      </c>
      <c r="E91" s="79">
        <v>37967</v>
      </c>
      <c r="F91" s="80">
        <f>375-200</f>
        <v>175</v>
      </c>
      <c r="G91" s="81">
        <v>16.100000000000001</v>
      </c>
      <c r="H91" s="89">
        <f>(7.02+7+0.24)/+F91</f>
        <v>8.1485714285714286E-2</v>
      </c>
      <c r="I91" s="63">
        <f t="shared" si="54"/>
        <v>2831.7600000000007</v>
      </c>
      <c r="J91" s="64">
        <f t="shared" si="49"/>
        <v>16.181485714285717</v>
      </c>
      <c r="K91" s="79">
        <v>38401</v>
      </c>
      <c r="L91" s="81">
        <v>23.5</v>
      </c>
      <c r="M91" s="89">
        <f>12.26/F91</f>
        <v>7.0057142857142859E-2</v>
      </c>
      <c r="N91" s="63">
        <f t="shared" si="53"/>
        <v>4100.2400000000007</v>
      </c>
      <c r="O91" s="64">
        <f t="shared" ref="O91:O98" si="55">+N91/F91</f>
        <v>23.429942857142862</v>
      </c>
      <c r="P91" s="59">
        <f t="shared" ref="P91:P98" si="56">+N91-I91</f>
        <v>1268.48</v>
      </c>
      <c r="Q91" s="61">
        <f t="shared" ref="Q91:Q98" si="57">+P91/I91</f>
        <v>0.44794756617792458</v>
      </c>
      <c r="R91" s="609">
        <f>SUM(P91:P95)</f>
        <v>11674.243142857147</v>
      </c>
      <c r="S91" s="608">
        <v>2005</v>
      </c>
    </row>
    <row r="92" spans="1:19" hidden="1">
      <c r="A92" s="1" t="s">
        <v>138</v>
      </c>
      <c r="B92" s="52" t="s">
        <v>9</v>
      </c>
      <c r="C92" s="233" t="s">
        <v>27</v>
      </c>
      <c r="D92" s="53" t="s">
        <v>11</v>
      </c>
      <c r="E92" s="76">
        <v>37890</v>
      </c>
      <c r="F92" s="55">
        <f>700-310</f>
        <v>390</v>
      </c>
      <c r="G92" s="56">
        <v>9.0399999999999991</v>
      </c>
      <c r="H92" s="229">
        <f>14.26/700</f>
        <v>2.0371428571428572E-2</v>
      </c>
      <c r="I92" s="30">
        <f t="shared" si="54"/>
        <v>3533.5448571428565</v>
      </c>
      <c r="J92" s="32">
        <f t="shared" si="49"/>
        <v>9.0603714285714272</v>
      </c>
      <c r="K92" s="131">
        <v>38604</v>
      </c>
      <c r="L92" s="56">
        <v>14.16</v>
      </c>
      <c r="M92" s="83">
        <f>+(7+5.48)/F92</f>
        <v>3.2000000000000001E-2</v>
      </c>
      <c r="N92" s="34">
        <f t="shared" ref="N92:N98" si="58">+(L92-M92)*F92</f>
        <v>5509.92</v>
      </c>
      <c r="O92" s="32">
        <f t="shared" si="55"/>
        <v>14.128</v>
      </c>
      <c r="P92" s="30">
        <f t="shared" si="56"/>
        <v>1976.3751428571436</v>
      </c>
      <c r="Q92" s="7">
        <f t="shared" si="57"/>
        <v>0.55931797182707776</v>
      </c>
    </row>
    <row r="93" spans="1:19" hidden="1">
      <c r="B93" s="52" t="s">
        <v>9</v>
      </c>
      <c r="C93" s="233" t="s">
        <v>10</v>
      </c>
      <c r="D93" s="53" t="s">
        <v>11</v>
      </c>
      <c r="E93" s="76">
        <v>37308</v>
      </c>
      <c r="F93" s="55">
        <v>200</v>
      </c>
      <c r="G93" s="82">
        <v>16.559999999999999</v>
      </c>
      <c r="H93" s="228">
        <f>(5.4+7)/200</f>
        <v>6.2E-2</v>
      </c>
      <c r="I93" s="30">
        <f t="shared" si="54"/>
        <v>3324.4</v>
      </c>
      <c r="J93" s="32">
        <f t="shared" si="49"/>
        <v>16.622</v>
      </c>
      <c r="K93" s="131">
        <v>38687</v>
      </c>
      <c r="L93" s="56">
        <v>22.37</v>
      </c>
      <c r="M93" s="83">
        <f>14.5/850</f>
        <v>1.7058823529411765E-2</v>
      </c>
      <c r="N93" s="34">
        <f t="shared" si="58"/>
        <v>4470.588235294118</v>
      </c>
      <c r="O93" s="32">
        <f t="shared" si="55"/>
        <v>22.352941176470591</v>
      </c>
      <c r="P93" s="30">
        <f t="shared" si="56"/>
        <v>1146.1882352941179</v>
      </c>
      <c r="Q93" s="7">
        <f t="shared" si="57"/>
        <v>0.34478048228074776</v>
      </c>
    </row>
    <row r="94" spans="1:19" hidden="1">
      <c r="B94" s="52" t="s">
        <v>9</v>
      </c>
      <c r="C94" s="233" t="s">
        <v>10</v>
      </c>
      <c r="D94" s="53" t="s">
        <v>11</v>
      </c>
      <c r="E94" s="76">
        <v>37308</v>
      </c>
      <c r="F94" s="55">
        <v>560</v>
      </c>
      <c r="G94" s="82">
        <f>6036.8/560</f>
        <v>10.780000000000001</v>
      </c>
      <c r="H94" s="228">
        <f>(7.02+7)/560</f>
        <v>2.5035714285714286E-2</v>
      </c>
      <c r="I94" s="30">
        <f t="shared" si="54"/>
        <v>6050.8200000000006</v>
      </c>
      <c r="J94" s="32">
        <f t="shared" si="49"/>
        <v>10.805035714285715</v>
      </c>
      <c r="K94" s="131">
        <v>38687</v>
      </c>
      <c r="L94" s="56">
        <v>22.37</v>
      </c>
      <c r="M94" s="83">
        <f>14.5/850</f>
        <v>1.7058823529411765E-2</v>
      </c>
      <c r="N94" s="34">
        <f t="shared" si="58"/>
        <v>12517.647058823532</v>
      </c>
      <c r="O94" s="32">
        <f t="shared" si="55"/>
        <v>22.352941176470591</v>
      </c>
      <c r="P94" s="30">
        <f t="shared" si="56"/>
        <v>6466.8270588235309</v>
      </c>
      <c r="Q94" s="7">
        <f t="shared" si="57"/>
        <v>1.0687521788490701</v>
      </c>
    </row>
    <row r="95" spans="1:19" hidden="1">
      <c r="A95" s="1" t="s">
        <v>138</v>
      </c>
      <c r="B95" s="69" t="s">
        <v>9</v>
      </c>
      <c r="C95" s="232" t="s">
        <v>10</v>
      </c>
      <c r="D95" s="70" t="s">
        <v>11</v>
      </c>
      <c r="E95" s="180">
        <v>37893</v>
      </c>
      <c r="F95" s="72">
        <v>90</v>
      </c>
      <c r="G95" s="73">
        <v>13.24</v>
      </c>
      <c r="H95" s="230">
        <f>(7.24+5.4)/300</f>
        <v>4.2133333333333335E-2</v>
      </c>
      <c r="I95" s="31">
        <f t="shared" si="54"/>
        <v>1195.3920000000001</v>
      </c>
      <c r="J95" s="33">
        <f t="shared" ref="J95:J100" si="59">+I95/F95</f>
        <v>13.282133333333334</v>
      </c>
      <c r="K95" s="271">
        <v>38687</v>
      </c>
      <c r="L95" s="73">
        <v>22.37</v>
      </c>
      <c r="M95" s="84">
        <f>14.5/850</f>
        <v>1.7058823529411765E-2</v>
      </c>
      <c r="N95" s="35">
        <f t="shared" si="58"/>
        <v>2011.7647058823532</v>
      </c>
      <c r="O95" s="33">
        <f t="shared" si="55"/>
        <v>22.352941176470591</v>
      </c>
      <c r="P95" s="31">
        <f t="shared" si="56"/>
        <v>816.3727058823531</v>
      </c>
      <c r="Q95" s="15">
        <f t="shared" si="57"/>
        <v>0.68293305115171676</v>
      </c>
    </row>
    <row r="96" spans="1:19">
      <c r="A96" s="1" t="s">
        <v>138</v>
      </c>
      <c r="B96" s="77" t="s">
        <v>9</v>
      </c>
      <c r="C96" s="78" t="s">
        <v>28</v>
      </c>
      <c r="D96" s="78" t="s">
        <v>11</v>
      </c>
      <c r="E96" s="79">
        <v>37876</v>
      </c>
      <c r="F96" s="80">
        <v>800</v>
      </c>
      <c r="G96" s="81">
        <v>7.67</v>
      </c>
      <c r="H96" s="89">
        <f>14.26/800</f>
        <v>1.7825000000000001E-2</v>
      </c>
      <c r="I96" s="63">
        <f t="shared" ref="I96:I102" si="60">+(G96+H96)*F96</f>
        <v>6150.26</v>
      </c>
      <c r="J96" s="64">
        <f t="shared" si="59"/>
        <v>7.6878250000000001</v>
      </c>
      <c r="K96" s="79">
        <v>38771</v>
      </c>
      <c r="L96" s="81">
        <v>12.27</v>
      </c>
      <c r="M96" s="89">
        <f>14.78/1700</f>
        <v>8.6941176470588227E-3</v>
      </c>
      <c r="N96" s="63">
        <f t="shared" si="58"/>
        <v>9809.044705882352</v>
      </c>
      <c r="O96" s="64">
        <f t="shared" si="55"/>
        <v>12.261305882352939</v>
      </c>
      <c r="P96" s="59">
        <f t="shared" si="56"/>
        <v>3658.7847058823518</v>
      </c>
      <c r="Q96" s="61">
        <f t="shared" si="57"/>
        <v>0.59489919221014265</v>
      </c>
      <c r="R96" s="609">
        <f>SUM(P96:P106)</f>
        <v>45193.763251754383</v>
      </c>
      <c r="S96" s="608">
        <v>2006</v>
      </c>
    </row>
    <row r="97" spans="1:19" hidden="1">
      <c r="A97" s="1" t="s">
        <v>138</v>
      </c>
      <c r="B97" s="52" t="s">
        <v>9</v>
      </c>
      <c r="C97" s="233" t="s">
        <v>28</v>
      </c>
      <c r="D97" s="53" t="s">
        <v>11</v>
      </c>
      <c r="E97" s="76">
        <v>37893</v>
      </c>
      <c r="F97" s="55">
        <v>860</v>
      </c>
      <c r="G97" s="56">
        <v>7.29</v>
      </c>
      <c r="H97" s="229">
        <f>14.26/860</f>
        <v>1.6581395348837208E-2</v>
      </c>
      <c r="I97" s="30">
        <f t="shared" si="60"/>
        <v>6283.6600000000008</v>
      </c>
      <c r="J97" s="32">
        <f t="shared" si="59"/>
        <v>7.3065813953488377</v>
      </c>
      <c r="K97" s="131">
        <v>38771</v>
      </c>
      <c r="L97" s="56">
        <v>12.27</v>
      </c>
      <c r="M97" s="83">
        <f>14.78/1700</f>
        <v>8.6941176470588227E-3</v>
      </c>
      <c r="N97" s="34">
        <f t="shared" si="58"/>
        <v>10544.723058823529</v>
      </c>
      <c r="O97" s="32">
        <f t="shared" si="55"/>
        <v>12.261305882352941</v>
      </c>
      <c r="P97" s="30">
        <f t="shared" si="56"/>
        <v>4261.0630588235281</v>
      </c>
      <c r="Q97" s="7">
        <f t="shared" si="57"/>
        <v>0.67811801701930519</v>
      </c>
    </row>
    <row r="98" spans="1:19" hidden="1">
      <c r="A98" s="1" t="s">
        <v>185</v>
      </c>
      <c r="B98" s="52" t="s">
        <v>9</v>
      </c>
      <c r="C98" s="233" t="s">
        <v>28</v>
      </c>
      <c r="D98" s="53" t="s">
        <v>11</v>
      </c>
      <c r="E98" s="76">
        <v>38117</v>
      </c>
      <c r="F98" s="55">
        <v>40</v>
      </c>
      <c r="G98" s="56">
        <v>8.3800000000000008</v>
      </c>
      <c r="H98" s="229">
        <f>+(5.59+7+0.27)/750</f>
        <v>1.7146666666666664E-2</v>
      </c>
      <c r="I98" s="30">
        <f t="shared" si="60"/>
        <v>335.88586666666674</v>
      </c>
      <c r="J98" s="32">
        <f t="shared" si="59"/>
        <v>8.3971466666666679</v>
      </c>
      <c r="K98" s="131">
        <v>38771</v>
      </c>
      <c r="L98" s="56">
        <v>12.27</v>
      </c>
      <c r="M98" s="83">
        <f>14.78/1700</f>
        <v>8.6941176470588227E-3</v>
      </c>
      <c r="N98" s="34">
        <f t="shared" si="58"/>
        <v>490.45223529411766</v>
      </c>
      <c r="O98" s="32">
        <f t="shared" si="55"/>
        <v>12.261305882352941</v>
      </c>
      <c r="P98" s="30">
        <f t="shared" si="56"/>
        <v>154.56636862745091</v>
      </c>
      <c r="Q98" s="7">
        <f t="shared" si="57"/>
        <v>0.46017526775201478</v>
      </c>
    </row>
    <row r="99" spans="1:19" hidden="1">
      <c r="A99" s="1" t="s">
        <v>138</v>
      </c>
      <c r="B99" s="52" t="s">
        <v>9</v>
      </c>
      <c r="C99" s="233" t="s">
        <v>10</v>
      </c>
      <c r="D99" s="53" t="s">
        <v>11</v>
      </c>
      <c r="E99" s="76">
        <v>37893</v>
      </c>
      <c r="F99" s="55">
        <f>300-90</f>
        <v>210</v>
      </c>
      <c r="G99" s="56">
        <v>13.24</v>
      </c>
      <c r="H99" s="229">
        <f>(7.24+5.4)/300</f>
        <v>4.2133333333333335E-2</v>
      </c>
      <c r="I99" s="30">
        <f t="shared" si="60"/>
        <v>2789.248</v>
      </c>
      <c r="J99" s="32">
        <f t="shared" si="59"/>
        <v>13.282133333333334</v>
      </c>
      <c r="K99" s="131">
        <v>38930</v>
      </c>
      <c r="L99" s="56">
        <v>26.69</v>
      </c>
      <c r="M99" s="83">
        <f>14.05/600</f>
        <v>2.3416666666666669E-2</v>
      </c>
      <c r="N99" s="34">
        <f t="shared" ref="N99:N106" si="61">+(L99-M99)*F99</f>
        <v>5599.9825000000001</v>
      </c>
      <c r="O99" s="32">
        <f t="shared" ref="O99:O106" si="62">+N99/F99</f>
        <v>26.666583333333335</v>
      </c>
      <c r="P99" s="30">
        <f t="shared" ref="P99:P106" si="63">+N99-I99</f>
        <v>2810.7345</v>
      </c>
      <c r="Q99" s="7">
        <f t="shared" ref="Q99:Q106" si="64">+P99/I99</f>
        <v>1.0077033307902346</v>
      </c>
    </row>
    <row r="100" spans="1:19" hidden="1">
      <c r="A100" s="1" t="s">
        <v>138</v>
      </c>
      <c r="B100" s="52" t="s">
        <v>9</v>
      </c>
      <c r="C100" s="233" t="s">
        <v>10</v>
      </c>
      <c r="D100" s="53" t="s">
        <v>11</v>
      </c>
      <c r="E100" s="76">
        <v>37893</v>
      </c>
      <c r="F100" s="55">
        <v>390</v>
      </c>
      <c r="G100" s="56">
        <v>13.25</v>
      </c>
      <c r="H100" s="229">
        <f>(7.02)/610</f>
        <v>1.1508196721311474E-2</v>
      </c>
      <c r="I100" s="30">
        <f t="shared" si="60"/>
        <v>5171.9881967213114</v>
      </c>
      <c r="J100" s="32">
        <f t="shared" si="59"/>
        <v>13.26150819672131</v>
      </c>
      <c r="K100" s="131">
        <v>38930</v>
      </c>
      <c r="L100" s="56">
        <v>26.69</v>
      </c>
      <c r="M100" s="83">
        <f>14.05/600</f>
        <v>2.3416666666666669E-2</v>
      </c>
      <c r="N100" s="34">
        <f t="shared" si="61"/>
        <v>10399.967500000001</v>
      </c>
      <c r="O100" s="32">
        <f t="shared" si="62"/>
        <v>26.666583333333335</v>
      </c>
      <c r="P100" s="30">
        <f t="shared" si="63"/>
        <v>5227.9793032786893</v>
      </c>
      <c r="Q100" s="7">
        <f t="shared" si="64"/>
        <v>1.0108258380390103</v>
      </c>
    </row>
    <row r="101" spans="1:19" hidden="1">
      <c r="A101" s="1" t="s">
        <v>138</v>
      </c>
      <c r="B101" s="52" t="s">
        <v>9</v>
      </c>
      <c r="C101" s="233" t="s">
        <v>27</v>
      </c>
      <c r="D101" s="53" t="s">
        <v>11</v>
      </c>
      <c r="E101" s="76">
        <v>38021</v>
      </c>
      <c r="F101" s="55">
        <v>600</v>
      </c>
      <c r="G101" s="56">
        <v>10.32</v>
      </c>
      <c r="H101" s="229">
        <f>+(7+5.58+0.27)/600</f>
        <v>2.1416666666666667E-2</v>
      </c>
      <c r="I101" s="30">
        <f t="shared" si="60"/>
        <v>6204.85</v>
      </c>
      <c r="J101" s="32">
        <f>+I101/F101</f>
        <v>10.341416666666667</v>
      </c>
      <c r="K101" s="131">
        <v>38957</v>
      </c>
      <c r="L101" s="56">
        <v>17.82</v>
      </c>
      <c r="M101" s="83">
        <f>13.95/860</f>
        <v>1.6220930232558137E-2</v>
      </c>
      <c r="N101" s="34">
        <f t="shared" si="61"/>
        <v>10682.267441860466</v>
      </c>
      <c r="O101" s="32">
        <f t="shared" si="62"/>
        <v>17.803779069767444</v>
      </c>
      <c r="P101" s="30">
        <f t="shared" si="63"/>
        <v>4477.4174418604653</v>
      </c>
      <c r="Q101" s="7">
        <f t="shared" si="64"/>
        <v>0.72159962639877917</v>
      </c>
    </row>
    <row r="102" spans="1:19" hidden="1">
      <c r="A102" s="1" t="s">
        <v>205</v>
      </c>
      <c r="B102" s="52" t="s">
        <v>9</v>
      </c>
      <c r="C102" s="233" t="s">
        <v>27</v>
      </c>
      <c r="D102" s="53" t="s">
        <v>11</v>
      </c>
      <c r="E102" s="76">
        <v>38471</v>
      </c>
      <c r="F102" s="55">
        <v>260</v>
      </c>
      <c r="G102" s="56">
        <v>11.91</v>
      </c>
      <c r="H102" s="229">
        <f>13.01/760</f>
        <v>1.7118421052631578E-2</v>
      </c>
      <c r="I102" s="30">
        <f t="shared" si="60"/>
        <v>3101.0507894736843</v>
      </c>
      <c r="J102" s="32">
        <f>+I102/F102</f>
        <v>11.927118421052631</v>
      </c>
      <c r="K102" s="131">
        <v>38957</v>
      </c>
      <c r="L102" s="56">
        <v>17.82</v>
      </c>
      <c r="M102" s="83">
        <f>13.95/860</f>
        <v>1.6220930232558137E-2</v>
      </c>
      <c r="N102" s="34">
        <f t="shared" si="61"/>
        <v>4628.9825581395353</v>
      </c>
      <c r="O102" s="32">
        <f t="shared" si="62"/>
        <v>17.803779069767444</v>
      </c>
      <c r="P102" s="30">
        <f t="shared" si="63"/>
        <v>1527.931768665851</v>
      </c>
      <c r="Q102" s="7">
        <f t="shared" si="64"/>
        <v>0.49271420315085335</v>
      </c>
    </row>
    <row r="103" spans="1:19" hidden="1">
      <c r="A103" s="1" t="s">
        <v>138</v>
      </c>
      <c r="B103" s="52" t="s">
        <v>9</v>
      </c>
      <c r="C103" s="233" t="s">
        <v>10</v>
      </c>
      <c r="D103" s="53" t="s">
        <v>11</v>
      </c>
      <c r="E103" s="76">
        <v>37893</v>
      </c>
      <c r="F103" s="55">
        <f>610-390</f>
        <v>220</v>
      </c>
      <c r="G103" s="56">
        <v>13.25</v>
      </c>
      <c r="H103" s="229">
        <f>(7.02)/610</f>
        <v>1.1508196721311474E-2</v>
      </c>
      <c r="I103" s="30">
        <f>+(G103+H103)*F103</f>
        <v>2917.5318032786886</v>
      </c>
      <c r="J103" s="32">
        <f>+I103/F103</f>
        <v>13.261508196721312</v>
      </c>
      <c r="K103" s="131">
        <v>38994</v>
      </c>
      <c r="L103" s="56">
        <v>33.950000000000003</v>
      </c>
      <c r="M103" s="83">
        <f>16.95/1000</f>
        <v>1.695E-2</v>
      </c>
      <c r="N103" s="34">
        <f t="shared" si="61"/>
        <v>7465.2710000000006</v>
      </c>
      <c r="O103" s="32">
        <f t="shared" si="62"/>
        <v>33.933050000000001</v>
      </c>
      <c r="P103" s="30">
        <f t="shared" si="63"/>
        <v>4547.7391967213116</v>
      </c>
      <c r="Q103" s="7">
        <f t="shared" si="64"/>
        <v>1.558762510012955</v>
      </c>
    </row>
    <row r="104" spans="1:19" hidden="1">
      <c r="B104" s="52" t="s">
        <v>9</v>
      </c>
      <c r="C104" s="233" t="s">
        <v>10</v>
      </c>
      <c r="D104" s="53" t="s">
        <v>11</v>
      </c>
      <c r="E104" s="76">
        <v>38061</v>
      </c>
      <c r="F104" s="55">
        <v>450</v>
      </c>
      <c r="G104" s="56">
        <v>14.82</v>
      </c>
      <c r="H104" s="229">
        <f>(7.27+5.65)/F104</f>
        <v>2.8711111111111111E-2</v>
      </c>
      <c r="I104" s="82">
        <f>+(G104+H104)*F104</f>
        <v>6681.92</v>
      </c>
      <c r="J104" s="32">
        <f>+I104/F104</f>
        <v>14.848711111111111</v>
      </c>
      <c r="K104" s="131">
        <v>38994</v>
      </c>
      <c r="L104" s="56">
        <v>33.950000000000003</v>
      </c>
      <c r="M104" s="83">
        <f>16.95/1000</f>
        <v>1.695E-2</v>
      </c>
      <c r="N104" s="34">
        <f t="shared" si="61"/>
        <v>15269.872500000001</v>
      </c>
      <c r="O104" s="32">
        <f t="shared" si="62"/>
        <v>33.933050000000001</v>
      </c>
      <c r="P104" s="30">
        <f t="shared" si="63"/>
        <v>8587.9525000000012</v>
      </c>
      <c r="Q104" s="7">
        <f t="shared" si="64"/>
        <v>1.2852522179253869</v>
      </c>
    </row>
    <row r="105" spans="1:19" hidden="1">
      <c r="B105" s="52" t="s">
        <v>9</v>
      </c>
      <c r="C105" s="233" t="s">
        <v>10</v>
      </c>
      <c r="D105" s="53" t="s">
        <v>11</v>
      </c>
      <c r="E105" s="76">
        <v>38061</v>
      </c>
      <c r="F105" s="55">
        <f>330</f>
        <v>330</v>
      </c>
      <c r="G105" s="56">
        <v>14.52</v>
      </c>
      <c r="H105" s="229">
        <f>(7.27+5.67)/F105</f>
        <v>3.9212121212121212E-2</v>
      </c>
      <c r="I105" s="82">
        <f>+(G105+H105)*F105</f>
        <v>4804.54</v>
      </c>
      <c r="J105" s="32">
        <f>+I105/470</f>
        <v>10.222425531914894</v>
      </c>
      <c r="K105" s="131">
        <v>38994</v>
      </c>
      <c r="L105" s="56">
        <v>33.950000000000003</v>
      </c>
      <c r="M105" s="83">
        <f>16.95/1000</f>
        <v>1.695E-2</v>
      </c>
      <c r="N105" s="34">
        <f t="shared" si="61"/>
        <v>11197.906500000001</v>
      </c>
      <c r="O105" s="32">
        <f t="shared" si="62"/>
        <v>33.933050000000001</v>
      </c>
      <c r="P105" s="30">
        <f t="shared" si="63"/>
        <v>6393.366500000001</v>
      </c>
      <c r="Q105" s="7">
        <f t="shared" si="64"/>
        <v>1.3306927406161675</v>
      </c>
    </row>
    <row r="106" spans="1:19" hidden="1">
      <c r="A106" s="1" t="s">
        <v>205</v>
      </c>
      <c r="B106" s="69" t="s">
        <v>9</v>
      </c>
      <c r="C106" s="232" t="s">
        <v>27</v>
      </c>
      <c r="D106" s="70" t="s">
        <v>11</v>
      </c>
      <c r="E106" s="180">
        <v>38471</v>
      </c>
      <c r="F106" s="72">
        <v>499</v>
      </c>
      <c r="G106" s="73">
        <v>11.91</v>
      </c>
      <c r="H106" s="230">
        <f>13.01/760</f>
        <v>1.7118421052631578E-2</v>
      </c>
      <c r="I106" s="31">
        <f>+(G106+H106)*F106</f>
        <v>5951.6320921052629</v>
      </c>
      <c r="J106" s="33">
        <f>+I106/F106</f>
        <v>11.927118421052631</v>
      </c>
      <c r="K106" s="271">
        <v>39002</v>
      </c>
      <c r="L106" s="73">
        <v>19.059999999999999</v>
      </c>
      <c r="M106" s="84">
        <f>13.08/499</f>
        <v>2.6212424849699399E-2</v>
      </c>
      <c r="N106" s="35">
        <f t="shared" si="61"/>
        <v>9497.8599999999988</v>
      </c>
      <c r="O106" s="33">
        <f t="shared" si="62"/>
        <v>19.033787575150299</v>
      </c>
      <c r="P106" s="31">
        <f t="shared" si="63"/>
        <v>3546.2279078947358</v>
      </c>
      <c r="Q106" s="15">
        <f t="shared" si="64"/>
        <v>0.59584125043595115</v>
      </c>
    </row>
    <row r="107" spans="1:19">
      <c r="B107" s="77" t="s">
        <v>9</v>
      </c>
      <c r="C107" s="78" t="s">
        <v>17</v>
      </c>
      <c r="D107" s="78" t="s">
        <v>11</v>
      </c>
      <c r="E107" s="79">
        <v>37056</v>
      </c>
      <c r="F107" s="80">
        <v>10</v>
      </c>
      <c r="G107" s="81">
        <v>0</v>
      </c>
      <c r="H107" s="89">
        <v>0</v>
      </c>
      <c r="I107" s="63">
        <f t="shared" ref="I107:I113" si="65">+(G107+H107)*F107</f>
        <v>0</v>
      </c>
      <c r="J107" s="64">
        <f t="shared" ref="J107:J114" si="66">+I107/F107</f>
        <v>0</v>
      </c>
      <c r="K107" s="79">
        <v>39192</v>
      </c>
      <c r="L107" s="81">
        <v>16.989999999999998</v>
      </c>
      <c r="M107" s="89">
        <f>16.75/2000</f>
        <v>8.3750000000000005E-3</v>
      </c>
      <c r="N107" s="63">
        <f>+(L107-M107)*F107</f>
        <v>169.81624999999997</v>
      </c>
      <c r="O107" s="64">
        <f>+N107/F107</f>
        <v>16.981624999999998</v>
      </c>
      <c r="P107" s="59">
        <f>+N107-I107</f>
        <v>169.81624999999997</v>
      </c>
      <c r="Q107" s="61" t="e">
        <f>+P107/I107</f>
        <v>#DIV/0!</v>
      </c>
      <c r="R107" s="609">
        <f>SUM(P107:P130)</f>
        <v>72374.506366438698</v>
      </c>
      <c r="S107" s="608">
        <v>2007</v>
      </c>
    </row>
    <row r="108" spans="1:19" hidden="1">
      <c r="B108" s="52" t="s">
        <v>9</v>
      </c>
      <c r="C108" s="233" t="s">
        <v>17</v>
      </c>
      <c r="D108" s="53" t="s">
        <v>11</v>
      </c>
      <c r="E108" s="76">
        <v>37069</v>
      </c>
      <c r="F108" s="55">
        <v>375</v>
      </c>
      <c r="G108" s="56">
        <v>14.49</v>
      </c>
      <c r="H108" s="229">
        <v>0</v>
      </c>
      <c r="I108" s="30">
        <f t="shared" si="65"/>
        <v>5433.75</v>
      </c>
      <c r="J108" s="32">
        <f t="shared" si="66"/>
        <v>14.49</v>
      </c>
      <c r="K108" s="131">
        <v>39192</v>
      </c>
      <c r="L108" s="56">
        <v>16.989999999999998</v>
      </c>
      <c r="M108" s="83">
        <f t="shared" ref="M108:M114" si="67">16.75/2000</f>
        <v>8.3750000000000005E-3</v>
      </c>
      <c r="N108" s="34">
        <f>+(L108-M108)*F108</f>
        <v>6368.1093749999991</v>
      </c>
      <c r="O108" s="32">
        <f>+N108/F108</f>
        <v>16.981624999999998</v>
      </c>
      <c r="P108" s="30">
        <f>+N108-I108</f>
        <v>934.35937499999909</v>
      </c>
      <c r="Q108" s="7">
        <f>+P108/I108</f>
        <v>0.17195479641131797</v>
      </c>
    </row>
    <row r="109" spans="1:19" hidden="1">
      <c r="B109" s="52" t="s">
        <v>9</v>
      </c>
      <c r="C109" s="233" t="s">
        <v>17</v>
      </c>
      <c r="D109" s="53" t="s">
        <v>11</v>
      </c>
      <c r="E109" s="76">
        <v>37351</v>
      </c>
      <c r="F109" s="55">
        <v>7</v>
      </c>
      <c r="G109" s="56"/>
      <c r="H109" s="229">
        <f>3.25/7</f>
        <v>0.4642857142857143</v>
      </c>
      <c r="I109" s="30">
        <f t="shared" si="65"/>
        <v>3.25</v>
      </c>
      <c r="J109" s="32">
        <f t="shared" si="66"/>
        <v>0.4642857142857143</v>
      </c>
      <c r="K109" s="131">
        <v>39192</v>
      </c>
      <c r="L109" s="56">
        <v>16.989999999999998</v>
      </c>
      <c r="M109" s="83">
        <f t="shared" si="67"/>
        <v>8.3750000000000005E-3</v>
      </c>
      <c r="N109" s="34">
        <f t="shared" ref="N109:N114" si="68">+(L109-M109)*F109</f>
        <v>118.87137499999999</v>
      </c>
      <c r="O109" s="32">
        <f t="shared" ref="O109:O114" si="69">+N109/F109</f>
        <v>16.981624999999998</v>
      </c>
      <c r="P109" s="30">
        <f t="shared" ref="P109:P114" si="70">+N109-I109</f>
        <v>115.62137499999999</v>
      </c>
      <c r="Q109" s="7">
        <f t="shared" ref="Q109:Q114" si="71">+P109/I109</f>
        <v>35.575807692307691</v>
      </c>
    </row>
    <row r="110" spans="1:19" hidden="1">
      <c r="B110" s="52" t="s">
        <v>9</v>
      </c>
      <c r="C110" s="233" t="s">
        <v>17</v>
      </c>
      <c r="D110" s="53" t="s">
        <v>11</v>
      </c>
      <c r="E110" s="76"/>
      <c r="F110" s="55">
        <v>10</v>
      </c>
      <c r="G110" s="56"/>
      <c r="H110" s="229">
        <v>0</v>
      </c>
      <c r="I110" s="30">
        <f t="shared" si="65"/>
        <v>0</v>
      </c>
      <c r="J110" s="32">
        <f t="shared" si="66"/>
        <v>0</v>
      </c>
      <c r="K110" s="131">
        <v>39192</v>
      </c>
      <c r="L110" s="56">
        <v>16.989999999999998</v>
      </c>
      <c r="M110" s="83">
        <f t="shared" si="67"/>
        <v>8.3750000000000005E-3</v>
      </c>
      <c r="N110" s="34">
        <f t="shared" si="68"/>
        <v>169.81624999999997</v>
      </c>
      <c r="O110" s="32">
        <f t="shared" si="69"/>
        <v>16.981624999999998</v>
      </c>
      <c r="P110" s="30">
        <f t="shared" si="70"/>
        <v>169.81624999999997</v>
      </c>
      <c r="Q110" s="7" t="e">
        <f t="shared" si="71"/>
        <v>#DIV/0!</v>
      </c>
    </row>
    <row r="111" spans="1:19" hidden="1">
      <c r="B111" s="52" t="s">
        <v>9</v>
      </c>
      <c r="C111" s="233" t="s">
        <v>17</v>
      </c>
      <c r="D111" s="53" t="s">
        <v>11</v>
      </c>
      <c r="E111" s="76"/>
      <c r="F111" s="55">
        <v>12</v>
      </c>
      <c r="G111" s="56"/>
      <c r="H111" s="229"/>
      <c r="I111" s="30">
        <f t="shared" si="65"/>
        <v>0</v>
      </c>
      <c r="J111" s="32">
        <f t="shared" si="66"/>
        <v>0</v>
      </c>
      <c r="K111" s="131">
        <v>39192</v>
      </c>
      <c r="L111" s="56">
        <v>16.989999999999998</v>
      </c>
      <c r="M111" s="83">
        <f t="shared" si="67"/>
        <v>8.3750000000000005E-3</v>
      </c>
      <c r="N111" s="34">
        <f t="shared" si="68"/>
        <v>203.77949999999998</v>
      </c>
      <c r="O111" s="32">
        <f t="shared" si="69"/>
        <v>16.981624999999998</v>
      </c>
      <c r="P111" s="30">
        <f t="shared" si="70"/>
        <v>203.77949999999998</v>
      </c>
      <c r="Q111" s="7" t="e">
        <f t="shared" si="71"/>
        <v>#DIV/0!</v>
      </c>
    </row>
    <row r="112" spans="1:19" hidden="1">
      <c r="B112" s="52" t="s">
        <v>9</v>
      </c>
      <c r="C112" s="233" t="s">
        <v>17</v>
      </c>
      <c r="D112" s="53" t="s">
        <v>11</v>
      </c>
      <c r="E112" s="76">
        <v>38061</v>
      </c>
      <c r="F112" s="55">
        <v>500</v>
      </c>
      <c r="G112" s="56">
        <v>12.32</v>
      </c>
      <c r="H112" s="229">
        <f>(7.27+5.57)/F112</f>
        <v>2.5680000000000001E-2</v>
      </c>
      <c r="I112" s="30">
        <f t="shared" si="65"/>
        <v>6172.84</v>
      </c>
      <c r="J112" s="32">
        <f t="shared" si="66"/>
        <v>12.34568</v>
      </c>
      <c r="K112" s="131">
        <v>39192</v>
      </c>
      <c r="L112" s="56">
        <v>16.989999999999998</v>
      </c>
      <c r="M112" s="83">
        <f t="shared" si="67"/>
        <v>8.3750000000000005E-3</v>
      </c>
      <c r="N112" s="34">
        <f t="shared" si="68"/>
        <v>8490.8124999999982</v>
      </c>
      <c r="O112" s="32">
        <f t="shared" si="69"/>
        <v>16.981624999999998</v>
      </c>
      <c r="P112" s="30">
        <f t="shared" si="70"/>
        <v>2317.972499999998</v>
      </c>
      <c r="Q112" s="7">
        <f t="shared" si="71"/>
        <v>0.37551151495907847</v>
      </c>
    </row>
    <row r="113" spans="1:19" hidden="1">
      <c r="B113" s="52" t="s">
        <v>9</v>
      </c>
      <c r="C113" s="233" t="s">
        <v>17</v>
      </c>
      <c r="D113" s="53" t="s">
        <v>11</v>
      </c>
      <c r="E113" s="76">
        <v>38061</v>
      </c>
      <c r="F113" s="55">
        <v>585</v>
      </c>
      <c r="G113" s="56">
        <v>12.04</v>
      </c>
      <c r="H113" s="229">
        <f>(7.27+5.71)/F113</f>
        <v>2.2188034188034188E-2</v>
      </c>
      <c r="I113" s="30">
        <f t="shared" si="65"/>
        <v>7056.3799999999992</v>
      </c>
      <c r="J113" s="32">
        <f t="shared" si="66"/>
        <v>12.062188034188033</v>
      </c>
      <c r="K113" s="131">
        <v>39192</v>
      </c>
      <c r="L113" s="56">
        <v>16.989999999999998</v>
      </c>
      <c r="M113" s="83">
        <f t="shared" si="67"/>
        <v>8.3750000000000005E-3</v>
      </c>
      <c r="N113" s="34">
        <f t="shared" si="68"/>
        <v>9934.2506249999988</v>
      </c>
      <c r="O113" s="32">
        <f t="shared" si="69"/>
        <v>16.981624999999998</v>
      </c>
      <c r="P113" s="30">
        <f t="shared" si="70"/>
        <v>2877.8706249999996</v>
      </c>
      <c r="Q113" s="7">
        <f t="shared" si="71"/>
        <v>0.40783951898848986</v>
      </c>
    </row>
    <row r="114" spans="1:19" hidden="1">
      <c r="A114" s="1" t="s">
        <v>198</v>
      </c>
      <c r="B114" s="52" t="s">
        <v>9</v>
      </c>
      <c r="C114" s="233" t="s">
        <v>17</v>
      </c>
      <c r="D114" s="53" t="s">
        <v>11</v>
      </c>
      <c r="E114" s="76">
        <v>38471</v>
      </c>
      <c r="F114" s="55">
        <f>501</f>
        <v>501</v>
      </c>
      <c r="G114" s="56">
        <v>8.4</v>
      </c>
      <c r="H114" s="229">
        <v>1.1854545454545454E-2</v>
      </c>
      <c r="I114" s="30">
        <f>9253.04/880*F114</f>
        <v>5267.9239090909095</v>
      </c>
      <c r="J114" s="32">
        <f t="shared" si="66"/>
        <v>10.514818181818182</v>
      </c>
      <c r="K114" s="131">
        <v>39192</v>
      </c>
      <c r="L114" s="56">
        <v>16.989999999999998</v>
      </c>
      <c r="M114" s="83">
        <f t="shared" si="67"/>
        <v>8.3750000000000005E-3</v>
      </c>
      <c r="N114" s="34">
        <f t="shared" si="68"/>
        <v>8507.7941249999985</v>
      </c>
      <c r="O114" s="32">
        <f t="shared" si="69"/>
        <v>16.981624999999998</v>
      </c>
      <c r="P114" s="30">
        <f t="shared" si="70"/>
        <v>3239.870215909089</v>
      </c>
      <c r="Q114" s="7">
        <f t="shared" si="71"/>
        <v>0.6150184155693692</v>
      </c>
    </row>
    <row r="115" spans="1:19" hidden="1">
      <c r="B115" s="52" t="s">
        <v>9</v>
      </c>
      <c r="C115" s="233" t="s">
        <v>16</v>
      </c>
      <c r="D115" s="53" t="s">
        <v>11</v>
      </c>
      <c r="E115" s="76">
        <v>39148</v>
      </c>
      <c r="F115" s="55">
        <v>700</v>
      </c>
      <c r="G115" s="56">
        <v>23.34</v>
      </c>
      <c r="H115" s="229">
        <f>(16.2)/1300</f>
        <v>1.2461538461538461E-2</v>
      </c>
      <c r="I115" s="30">
        <f>+(G115+H115)*F115</f>
        <v>16346.723076923075</v>
      </c>
      <c r="J115" s="32">
        <f t="shared" ref="J115:J135" si="72">+I115/F115</f>
        <v>23.352461538461537</v>
      </c>
      <c r="K115" s="131">
        <v>39218</v>
      </c>
      <c r="L115" s="56">
        <v>25.86</v>
      </c>
      <c r="M115" s="83">
        <f>14.36/700</f>
        <v>2.0514285714285714E-2</v>
      </c>
      <c r="N115" s="34">
        <f t="shared" ref="N115:N122" si="73">+(L115-M115)*F115</f>
        <v>18087.64</v>
      </c>
      <c r="O115" s="32">
        <f t="shared" ref="O115:O122" si="74">+N115/F115</f>
        <v>25.839485714285715</v>
      </c>
      <c r="P115" s="30">
        <f t="shared" ref="P115:P122" si="75">+N115-I115</f>
        <v>1740.9169230769239</v>
      </c>
      <c r="Q115" s="7">
        <f t="shared" ref="Q115:Q122" si="76">+P115/I115</f>
        <v>0.10649944425464719</v>
      </c>
    </row>
    <row r="116" spans="1:19" hidden="1">
      <c r="B116" s="52" t="s">
        <v>9</v>
      </c>
      <c r="C116" s="233" t="s">
        <v>16</v>
      </c>
      <c r="D116" s="53" t="s">
        <v>11</v>
      </c>
      <c r="E116" s="76">
        <v>39148</v>
      </c>
      <c r="F116" s="55">
        <v>600</v>
      </c>
      <c r="G116" s="56">
        <v>23.34</v>
      </c>
      <c r="H116" s="229">
        <f>(16.2)/1300</f>
        <v>1.2461538461538461E-2</v>
      </c>
      <c r="I116" s="30">
        <f>+(G116+H116)*F116</f>
        <v>14011.476923076922</v>
      </c>
      <c r="J116" s="32">
        <f t="shared" si="72"/>
        <v>23.352461538461537</v>
      </c>
      <c r="K116" s="131">
        <v>39220</v>
      </c>
      <c r="L116" s="56">
        <v>26.96</v>
      </c>
      <c r="M116" s="83">
        <f>14.08/600</f>
        <v>2.3466666666666667E-2</v>
      </c>
      <c r="N116" s="34">
        <f t="shared" si="73"/>
        <v>16161.92</v>
      </c>
      <c r="O116" s="32">
        <f t="shared" si="74"/>
        <v>26.936533333333333</v>
      </c>
      <c r="P116" s="30">
        <f t="shared" si="75"/>
        <v>2150.4430769230785</v>
      </c>
      <c r="Q116" s="7">
        <f t="shared" si="76"/>
        <v>0.15347725930171544</v>
      </c>
      <c r="S116" s="606"/>
    </row>
    <row r="117" spans="1:19" hidden="1">
      <c r="A117" s="1" t="s">
        <v>185</v>
      </c>
      <c r="B117" s="52" t="s">
        <v>9</v>
      </c>
      <c r="C117" s="233" t="s">
        <v>28</v>
      </c>
      <c r="D117" s="53" t="s">
        <v>11</v>
      </c>
      <c r="E117" s="76">
        <v>38117</v>
      </c>
      <c r="F117" s="55">
        <f>750-40</f>
        <v>710</v>
      </c>
      <c r="G117" s="56">
        <v>8.3800000000000008</v>
      </c>
      <c r="H117" s="229">
        <f>+(5.59+7+0.27)/750</f>
        <v>1.7146666666666664E-2</v>
      </c>
      <c r="I117" s="30">
        <f>+(G117+H117)*F117</f>
        <v>5961.9741333333341</v>
      </c>
      <c r="J117" s="32">
        <f t="shared" si="72"/>
        <v>8.3971466666666679</v>
      </c>
      <c r="K117" s="131">
        <v>39234</v>
      </c>
      <c r="L117" s="56">
        <v>14.55</v>
      </c>
      <c r="M117" s="83">
        <v>1.1146153846153846E-2</v>
      </c>
      <c r="N117" s="34">
        <f t="shared" si="73"/>
        <v>10322.586230769231</v>
      </c>
      <c r="O117" s="32">
        <f t="shared" si="74"/>
        <v>14.538853846153847</v>
      </c>
      <c r="P117" s="30">
        <f t="shared" si="75"/>
        <v>4360.6120974358973</v>
      </c>
      <c r="Q117" s="7">
        <f t="shared" si="76"/>
        <v>0.73140406179486106</v>
      </c>
      <c r="S117" s="606"/>
    </row>
    <row r="118" spans="1:19" hidden="1">
      <c r="B118" s="52" t="s">
        <v>9</v>
      </c>
      <c r="C118" s="233" t="s">
        <v>28</v>
      </c>
      <c r="D118" s="53" t="s">
        <v>11</v>
      </c>
      <c r="E118" s="76">
        <v>38258</v>
      </c>
      <c r="F118" s="55">
        <v>590</v>
      </c>
      <c r="G118" s="56">
        <v>7.77</v>
      </c>
      <c r="H118" s="274">
        <v>8.6125000000000004E-3</v>
      </c>
      <c r="I118" s="30">
        <f>+(G118+H118)*F118</f>
        <v>4589.3813749999999</v>
      </c>
      <c r="J118" s="32">
        <f t="shared" si="72"/>
        <v>7.7786124999999995</v>
      </c>
      <c r="K118" s="131">
        <v>39234</v>
      </c>
      <c r="L118" s="56">
        <v>14.55</v>
      </c>
      <c r="M118" s="83">
        <v>1.1146153846153846E-2</v>
      </c>
      <c r="N118" s="34">
        <f t="shared" si="73"/>
        <v>8577.9237692307706</v>
      </c>
      <c r="O118" s="32">
        <f t="shared" si="74"/>
        <v>14.538853846153849</v>
      </c>
      <c r="P118" s="30">
        <f t="shared" si="75"/>
        <v>3988.5423942307707</v>
      </c>
      <c r="Q118" s="7">
        <f t="shared" si="76"/>
        <v>0.86908061638934309</v>
      </c>
      <c r="S118" s="606"/>
    </row>
    <row r="119" spans="1:19" hidden="1">
      <c r="A119" s="1" t="s">
        <v>198</v>
      </c>
      <c r="B119" s="52" t="s">
        <v>9</v>
      </c>
      <c r="C119" s="233" t="s">
        <v>17</v>
      </c>
      <c r="D119" s="53" t="s">
        <v>11</v>
      </c>
      <c r="E119" s="76">
        <v>38471</v>
      </c>
      <c r="F119" s="55">
        <f>880-501</f>
        <v>379</v>
      </c>
      <c r="G119" s="56">
        <v>8.4</v>
      </c>
      <c r="H119" s="229">
        <v>1.1854545454545454E-2</v>
      </c>
      <c r="I119" s="30">
        <f>9253.04/880*F119</f>
        <v>3985.1160909090918</v>
      </c>
      <c r="J119" s="32">
        <f t="shared" si="72"/>
        <v>10.514818181818184</v>
      </c>
      <c r="K119" s="131">
        <v>39325</v>
      </c>
      <c r="L119" s="56">
        <v>18.190000000000001</v>
      </c>
      <c r="M119" s="83">
        <f>17.07/2000</f>
        <v>8.5350000000000009E-3</v>
      </c>
      <c r="N119" s="34">
        <f t="shared" si="73"/>
        <v>6890.775235000001</v>
      </c>
      <c r="O119" s="32">
        <f t="shared" si="74"/>
        <v>18.181465000000003</v>
      </c>
      <c r="P119" s="30">
        <f t="shared" si="75"/>
        <v>2905.6591440909092</v>
      </c>
      <c r="Q119" s="7">
        <f t="shared" si="76"/>
        <v>0.72912785419710702</v>
      </c>
      <c r="S119" s="606"/>
    </row>
    <row r="120" spans="1:19" hidden="1">
      <c r="B120" s="52" t="s">
        <v>9</v>
      </c>
      <c r="C120" s="233" t="s">
        <v>17</v>
      </c>
      <c r="D120" s="53" t="s">
        <v>11</v>
      </c>
      <c r="E120" s="76">
        <v>38532</v>
      </c>
      <c r="F120" s="55">
        <v>59</v>
      </c>
      <c r="G120" s="56">
        <v>13.28</v>
      </c>
      <c r="H120" s="229">
        <v>0</v>
      </c>
      <c r="I120" s="30">
        <v>0</v>
      </c>
      <c r="J120" s="32">
        <f t="shared" si="72"/>
        <v>0</v>
      </c>
      <c r="K120" s="131">
        <v>39325</v>
      </c>
      <c r="L120" s="56">
        <v>18.190000000000001</v>
      </c>
      <c r="M120" s="83">
        <f>17.07/2000</f>
        <v>8.5350000000000009E-3</v>
      </c>
      <c r="N120" s="34">
        <f t="shared" si="73"/>
        <v>1072.7064350000001</v>
      </c>
      <c r="O120" s="32">
        <f t="shared" si="74"/>
        <v>18.181464999999999</v>
      </c>
      <c r="P120" s="30">
        <f t="shared" si="75"/>
        <v>1072.7064350000001</v>
      </c>
      <c r="Q120" s="7" t="e">
        <f t="shared" si="76"/>
        <v>#DIV/0!</v>
      </c>
      <c r="S120" s="606"/>
    </row>
    <row r="121" spans="1:19" hidden="1">
      <c r="B121" s="52" t="s">
        <v>9</v>
      </c>
      <c r="C121" s="233" t="s">
        <v>17</v>
      </c>
      <c r="D121" s="53" t="s">
        <v>11</v>
      </c>
      <c r="E121" s="76">
        <v>38691</v>
      </c>
      <c r="F121" s="55">
        <v>750</v>
      </c>
      <c r="G121" s="56">
        <v>12.53</v>
      </c>
      <c r="H121" s="229">
        <f>(13.06)/F121</f>
        <v>1.7413333333333333E-2</v>
      </c>
      <c r="I121" s="30">
        <f>+(G121+H121)*F121</f>
        <v>9410.56</v>
      </c>
      <c r="J121" s="32">
        <f t="shared" si="72"/>
        <v>12.547413333333333</v>
      </c>
      <c r="K121" s="131">
        <v>39325</v>
      </c>
      <c r="L121" s="56">
        <v>18.190000000000001</v>
      </c>
      <c r="M121" s="83">
        <f>17.07/2000</f>
        <v>8.5350000000000009E-3</v>
      </c>
      <c r="N121" s="34">
        <f t="shared" si="73"/>
        <v>13636.098750000003</v>
      </c>
      <c r="O121" s="32">
        <f t="shared" si="74"/>
        <v>18.181465000000003</v>
      </c>
      <c r="P121" s="30">
        <f t="shared" si="75"/>
        <v>4225.5387500000033</v>
      </c>
      <c r="Q121" s="7">
        <f t="shared" si="76"/>
        <v>0.44902096687125992</v>
      </c>
      <c r="S121" s="606"/>
    </row>
    <row r="122" spans="1:19" hidden="1">
      <c r="B122" s="52" t="s">
        <v>9</v>
      </c>
      <c r="C122" s="233" t="s">
        <v>17</v>
      </c>
      <c r="D122" s="53" t="s">
        <v>11</v>
      </c>
      <c r="E122" s="76">
        <v>38705</v>
      </c>
      <c r="F122" s="55">
        <f>880-68</f>
        <v>812</v>
      </c>
      <c r="G122" s="56">
        <v>8.68</v>
      </c>
      <c r="H122" s="229">
        <v>1.1899999999999999E-2</v>
      </c>
      <c r="I122" s="30">
        <f>9561.09/880*F122</f>
        <v>8822.2785000000003</v>
      </c>
      <c r="J122" s="32">
        <f t="shared" si="72"/>
        <v>10.864875</v>
      </c>
      <c r="K122" s="131">
        <v>39325</v>
      </c>
      <c r="L122" s="56">
        <v>18.190000000000001</v>
      </c>
      <c r="M122" s="83">
        <f>17.07/2000</f>
        <v>8.5350000000000009E-3</v>
      </c>
      <c r="N122" s="34">
        <f t="shared" si="73"/>
        <v>14763.349580000002</v>
      </c>
      <c r="O122" s="32">
        <f t="shared" si="74"/>
        <v>18.181465000000003</v>
      </c>
      <c r="P122" s="30">
        <f t="shared" si="75"/>
        <v>5941.0710800000015</v>
      </c>
      <c r="Q122" s="7">
        <f t="shared" si="76"/>
        <v>0.67341685937482043</v>
      </c>
      <c r="S122" s="606"/>
    </row>
    <row r="123" spans="1:19" hidden="1">
      <c r="B123" s="52" t="s">
        <v>9</v>
      </c>
      <c r="C123" s="233" t="s">
        <v>17</v>
      </c>
      <c r="D123" s="53" t="s">
        <v>11</v>
      </c>
      <c r="E123" s="76">
        <v>38705</v>
      </c>
      <c r="F123" s="55">
        <v>68</v>
      </c>
      <c r="G123" s="56">
        <v>8.68</v>
      </c>
      <c r="H123" s="229">
        <v>1.1899999999999999E-2</v>
      </c>
      <c r="I123" s="30">
        <f>9561.09/880*F123</f>
        <v>738.81150000000002</v>
      </c>
      <c r="J123" s="32">
        <f t="shared" si="72"/>
        <v>10.864875</v>
      </c>
      <c r="K123" s="131">
        <v>39344</v>
      </c>
      <c r="L123" s="56">
        <v>19.04</v>
      </c>
      <c r="M123" s="83">
        <f>14.5/1000</f>
        <v>1.4500000000000001E-2</v>
      </c>
      <c r="N123" s="34">
        <f t="shared" ref="N123:N129" si="77">+(L123-M123)*F123</f>
        <v>1293.7339999999999</v>
      </c>
      <c r="O123" s="32">
        <f t="shared" ref="O123:O129" si="78">+N123/F123</f>
        <v>19.025499999999997</v>
      </c>
      <c r="P123" s="30">
        <f t="shared" ref="P123:P129" si="79">+N123-I123</f>
        <v>554.9224999999999</v>
      </c>
      <c r="Q123" s="7">
        <f t="shared" ref="Q123:Q129" si="80">+P123/I123</f>
        <v>0.75110160034054674</v>
      </c>
      <c r="S123" s="606"/>
    </row>
    <row r="124" spans="1:19" hidden="1">
      <c r="B124" s="52" t="s">
        <v>9</v>
      </c>
      <c r="C124" s="233" t="s">
        <v>17</v>
      </c>
      <c r="D124" s="53" t="s">
        <v>11</v>
      </c>
      <c r="E124" s="76">
        <v>38737</v>
      </c>
      <c r="F124" s="55">
        <v>900</v>
      </c>
      <c r="G124" s="56">
        <v>12.36</v>
      </c>
      <c r="H124" s="229">
        <f>(13.31)/F124</f>
        <v>1.478888888888889E-2</v>
      </c>
      <c r="I124" s="30">
        <f t="shared" ref="I124:I134" si="81">+(G124+H124)*F124</f>
        <v>11137.31</v>
      </c>
      <c r="J124" s="32">
        <f t="shared" si="72"/>
        <v>12.374788888888888</v>
      </c>
      <c r="K124" s="131">
        <v>39344</v>
      </c>
      <c r="L124" s="56">
        <v>19.04</v>
      </c>
      <c r="M124" s="83">
        <f>14.5/1000</f>
        <v>1.4500000000000001E-2</v>
      </c>
      <c r="N124" s="34">
        <f t="shared" si="77"/>
        <v>17122.949999999997</v>
      </c>
      <c r="O124" s="32">
        <f t="shared" si="78"/>
        <v>19.025499999999997</v>
      </c>
      <c r="P124" s="30">
        <f t="shared" si="79"/>
        <v>5985.6399999999976</v>
      </c>
      <c r="Q124" s="7">
        <f t="shared" si="80"/>
        <v>0.53744036935310213</v>
      </c>
      <c r="S124" s="606"/>
    </row>
    <row r="125" spans="1:19" hidden="1">
      <c r="B125" s="52" t="s">
        <v>9</v>
      </c>
      <c r="C125" s="233" t="s">
        <v>17</v>
      </c>
      <c r="D125" s="53" t="s">
        <v>11</v>
      </c>
      <c r="E125" s="76">
        <v>38860</v>
      </c>
      <c r="F125" s="55">
        <f>32</f>
        <v>32</v>
      </c>
      <c r="G125" s="56">
        <v>11.95</v>
      </c>
      <c r="H125" s="229">
        <f>(14.16)/1400</f>
        <v>1.0114285714285715E-2</v>
      </c>
      <c r="I125" s="30">
        <f t="shared" si="81"/>
        <v>382.72365714285712</v>
      </c>
      <c r="J125" s="32">
        <f t="shared" si="72"/>
        <v>11.960114285714285</v>
      </c>
      <c r="K125" s="131">
        <v>39344</v>
      </c>
      <c r="L125" s="56">
        <v>19.04</v>
      </c>
      <c r="M125" s="83">
        <f>14.5/1000</f>
        <v>1.4500000000000001E-2</v>
      </c>
      <c r="N125" s="34">
        <f t="shared" si="77"/>
        <v>608.81599999999992</v>
      </c>
      <c r="O125" s="32">
        <f t="shared" si="78"/>
        <v>19.025499999999997</v>
      </c>
      <c r="P125" s="30">
        <f t="shared" si="79"/>
        <v>226.0923428571428</v>
      </c>
      <c r="Q125" s="7">
        <f t="shared" si="80"/>
        <v>0.59074566893770708</v>
      </c>
      <c r="S125" s="606"/>
    </row>
    <row r="126" spans="1:19" hidden="1">
      <c r="B126" s="52" t="s">
        <v>9</v>
      </c>
      <c r="C126" s="233" t="s">
        <v>10</v>
      </c>
      <c r="D126" s="53" t="s">
        <v>11</v>
      </c>
      <c r="E126" s="76">
        <v>38061</v>
      </c>
      <c r="F126" s="55">
        <f>470-330</f>
        <v>140</v>
      </c>
      <c r="G126" s="56">
        <v>14.52</v>
      </c>
      <c r="H126" s="229">
        <f>(7.27+5.67)/470</f>
        <v>2.7531914893617022E-2</v>
      </c>
      <c r="I126" s="82">
        <f t="shared" si="81"/>
        <v>2036.6544680851064</v>
      </c>
      <c r="J126" s="32">
        <f t="shared" si="72"/>
        <v>14.547531914893616</v>
      </c>
      <c r="K126" s="131">
        <v>39352</v>
      </c>
      <c r="L126" s="56">
        <v>40.03</v>
      </c>
      <c r="M126" s="83">
        <f>15.79/690</f>
        <v>2.288405797101449E-2</v>
      </c>
      <c r="N126" s="34">
        <f t="shared" si="77"/>
        <v>5600.996231884058</v>
      </c>
      <c r="O126" s="32">
        <f t="shared" si="78"/>
        <v>40.007115942028989</v>
      </c>
      <c r="P126" s="30">
        <f t="shared" si="79"/>
        <v>3564.3417637989514</v>
      </c>
      <c r="Q126" s="7">
        <f t="shared" si="80"/>
        <v>1.7500964545793574</v>
      </c>
      <c r="S126" s="606"/>
    </row>
    <row r="127" spans="1:19" hidden="1">
      <c r="A127" s="1" t="s">
        <v>205</v>
      </c>
      <c r="B127" s="52" t="s">
        <v>9</v>
      </c>
      <c r="C127" s="233" t="s">
        <v>10</v>
      </c>
      <c r="D127" s="53" t="s">
        <v>11</v>
      </c>
      <c r="E127" s="76">
        <v>38460</v>
      </c>
      <c r="F127" s="55">
        <v>550</v>
      </c>
      <c r="G127" s="56">
        <v>16.670000000000002</v>
      </c>
      <c r="H127" s="229">
        <f>13.03/F127</f>
        <v>2.3690909090909089E-2</v>
      </c>
      <c r="I127" s="30">
        <f t="shared" si="81"/>
        <v>9181.5300000000007</v>
      </c>
      <c r="J127" s="32">
        <f t="shared" si="72"/>
        <v>16.693690909090911</v>
      </c>
      <c r="K127" s="131">
        <v>39352</v>
      </c>
      <c r="L127" s="56">
        <v>40.03</v>
      </c>
      <c r="M127" s="83">
        <f>15.79/690</f>
        <v>2.288405797101449E-2</v>
      </c>
      <c r="N127" s="34">
        <f t="shared" si="77"/>
        <v>22003.913768115945</v>
      </c>
      <c r="O127" s="32">
        <f t="shared" si="78"/>
        <v>40.007115942028989</v>
      </c>
      <c r="P127" s="30">
        <f t="shared" si="79"/>
        <v>12822.383768115944</v>
      </c>
      <c r="Q127" s="7">
        <f t="shared" si="80"/>
        <v>1.3965410741037652</v>
      </c>
      <c r="S127" s="606"/>
    </row>
    <row r="128" spans="1:19" hidden="1">
      <c r="B128" s="52" t="s">
        <v>9</v>
      </c>
      <c r="C128" s="233" t="s">
        <v>27</v>
      </c>
      <c r="D128" s="53" t="s">
        <v>11</v>
      </c>
      <c r="E128" s="76">
        <v>39335</v>
      </c>
      <c r="F128" s="55">
        <v>250</v>
      </c>
      <c r="G128" s="56">
        <v>16.239999999999998</v>
      </c>
      <c r="H128" s="229">
        <f>12.26/250</f>
        <v>4.904E-2</v>
      </c>
      <c r="I128" s="30">
        <f t="shared" si="81"/>
        <v>4072.26</v>
      </c>
      <c r="J128" s="32">
        <f t="shared" si="72"/>
        <v>16.28904</v>
      </c>
      <c r="K128" s="131">
        <v>39360</v>
      </c>
      <c r="L128" s="56">
        <v>17.309999999999999</v>
      </c>
      <c r="M128" s="83">
        <f>14.25/1000</f>
        <v>1.4250000000000001E-2</v>
      </c>
      <c r="N128" s="34">
        <f t="shared" si="77"/>
        <v>4323.9375</v>
      </c>
      <c r="O128" s="32">
        <f t="shared" si="78"/>
        <v>17.295750000000002</v>
      </c>
      <c r="P128" s="30">
        <f t="shared" si="79"/>
        <v>251.67749999999978</v>
      </c>
      <c r="Q128" s="7">
        <f t="shared" si="80"/>
        <v>6.1802905511926978E-2</v>
      </c>
      <c r="S128" s="606"/>
    </row>
    <row r="129" spans="1:19" hidden="1">
      <c r="B129" s="52" t="s">
        <v>9</v>
      </c>
      <c r="C129" s="233" t="s">
        <v>27</v>
      </c>
      <c r="D129" s="53" t="s">
        <v>11</v>
      </c>
      <c r="E129" s="76">
        <v>39338</v>
      </c>
      <c r="F129" s="55">
        <v>750</v>
      </c>
      <c r="G129" s="56">
        <v>16.170000000000002</v>
      </c>
      <c r="H129" s="229">
        <f>14.08/1000</f>
        <v>1.4080000000000001E-2</v>
      </c>
      <c r="I129" s="30">
        <f t="shared" si="81"/>
        <v>12138.060000000001</v>
      </c>
      <c r="J129" s="32">
        <f t="shared" si="72"/>
        <v>16.184080000000002</v>
      </c>
      <c r="K129" s="131">
        <v>39360</v>
      </c>
      <c r="L129" s="56">
        <v>17.309999999999999</v>
      </c>
      <c r="M129" s="83">
        <f>14.25/1000</f>
        <v>1.4250000000000001E-2</v>
      </c>
      <c r="N129" s="34">
        <f t="shared" si="77"/>
        <v>12971.812499999998</v>
      </c>
      <c r="O129" s="32">
        <f t="shared" si="78"/>
        <v>17.295749999999998</v>
      </c>
      <c r="P129" s="30">
        <f t="shared" si="79"/>
        <v>833.75249999999687</v>
      </c>
      <c r="Q129" s="7">
        <f t="shared" si="80"/>
        <v>6.8689106825966975E-2</v>
      </c>
      <c r="S129" s="606"/>
    </row>
    <row r="130" spans="1:19" hidden="1">
      <c r="B130" s="69" t="s">
        <v>9</v>
      </c>
      <c r="C130" s="232" t="s">
        <v>17</v>
      </c>
      <c r="D130" s="70" t="s">
        <v>11</v>
      </c>
      <c r="E130" s="180">
        <v>38860</v>
      </c>
      <c r="F130" s="72">
        <f>1400-32</f>
        <v>1368</v>
      </c>
      <c r="G130" s="73">
        <v>11.95</v>
      </c>
      <c r="H130" s="230">
        <f>(14.16)/F130</f>
        <v>1.0350877192982456E-2</v>
      </c>
      <c r="I130" s="31">
        <f t="shared" si="81"/>
        <v>16361.759999999998</v>
      </c>
      <c r="J130" s="33">
        <f t="shared" si="72"/>
        <v>11.960350877192981</v>
      </c>
      <c r="K130" s="271">
        <v>39366</v>
      </c>
      <c r="L130" s="73">
        <v>20.54</v>
      </c>
      <c r="M130" s="84">
        <f>15.86/1368</f>
        <v>1.1593567251461987E-2</v>
      </c>
      <c r="N130" s="35">
        <f t="shared" ref="N130:N137" si="82">+(L130-M130)*F130</f>
        <v>28082.859999999997</v>
      </c>
      <c r="O130" s="33">
        <f t="shared" ref="O130:O137" si="83">+N130/F130</f>
        <v>20.528406432748536</v>
      </c>
      <c r="P130" s="31">
        <f t="shared" ref="P130:P137" si="84">+N130-I130</f>
        <v>11721.099999999999</v>
      </c>
      <c r="Q130" s="15">
        <f t="shared" ref="Q130:Q137" si="85">+P130/I130</f>
        <v>0.71637158838657944</v>
      </c>
      <c r="S130" s="606"/>
    </row>
    <row r="131" spans="1:19">
      <c r="A131" s="1" t="s">
        <v>205</v>
      </c>
      <c r="B131" s="77" t="s">
        <v>9</v>
      </c>
      <c r="C131" s="78" t="s">
        <v>27</v>
      </c>
      <c r="D131" s="78" t="s">
        <v>11</v>
      </c>
      <c r="E131" s="79">
        <v>38471</v>
      </c>
      <c r="F131" s="80">
        <v>1</v>
      </c>
      <c r="G131" s="81">
        <v>11.91</v>
      </c>
      <c r="H131" s="89">
        <f>13.01/760</f>
        <v>1.7118421052631578E-2</v>
      </c>
      <c r="I131" s="63">
        <f t="shared" si="81"/>
        <v>11.927118421052631</v>
      </c>
      <c r="J131" s="64">
        <f t="shared" si="72"/>
        <v>11.927118421052631</v>
      </c>
      <c r="K131" s="79">
        <v>39539</v>
      </c>
      <c r="L131" s="81">
        <v>14.49</v>
      </c>
      <c r="M131" s="89">
        <v>1.511111111111111E-2</v>
      </c>
      <c r="N131" s="63">
        <f t="shared" si="82"/>
        <v>14.47488888888889</v>
      </c>
      <c r="O131" s="64">
        <f t="shared" si="83"/>
        <v>14.47488888888889</v>
      </c>
      <c r="P131" s="59">
        <f t="shared" si="84"/>
        <v>2.5477704678362585</v>
      </c>
      <c r="Q131" s="61">
        <f t="shared" si="85"/>
        <v>0.21361156801622536</v>
      </c>
      <c r="R131" s="609">
        <f>SUM(P131:P141)</f>
        <v>9699.4842565789604</v>
      </c>
      <c r="S131" s="608">
        <v>2008</v>
      </c>
    </row>
    <row r="132" spans="1:19" hidden="1">
      <c r="B132" s="52" t="s">
        <v>9</v>
      </c>
      <c r="C132" s="233" t="s">
        <v>27</v>
      </c>
      <c r="D132" s="53" t="s">
        <v>11</v>
      </c>
      <c r="E132" s="76">
        <v>39338</v>
      </c>
      <c r="F132" s="55">
        <v>250</v>
      </c>
      <c r="G132" s="56">
        <v>16.170000000000002</v>
      </c>
      <c r="H132" s="229">
        <f>14.08/1000</f>
        <v>1.4080000000000001E-2</v>
      </c>
      <c r="I132" s="30">
        <f t="shared" si="81"/>
        <v>4046.0200000000004</v>
      </c>
      <c r="J132" s="32">
        <f t="shared" si="72"/>
        <v>16.184080000000002</v>
      </c>
      <c r="K132" s="131">
        <v>39539</v>
      </c>
      <c r="L132" s="56">
        <v>14.49</v>
      </c>
      <c r="M132" s="83">
        <v>1.511111111111111E-2</v>
      </c>
      <c r="N132" s="34">
        <f t="shared" si="82"/>
        <v>3618.7222222222222</v>
      </c>
      <c r="O132" s="32">
        <f t="shared" si="83"/>
        <v>14.474888888888888</v>
      </c>
      <c r="P132" s="56">
        <f t="shared" si="84"/>
        <v>-427.29777777777826</v>
      </c>
      <c r="Q132" s="7">
        <f t="shared" si="85"/>
        <v>-0.10560940820306826</v>
      </c>
      <c r="R132" s="17"/>
      <c r="S132" s="233"/>
    </row>
    <row r="133" spans="1:19" hidden="1">
      <c r="B133" s="52" t="s">
        <v>9</v>
      </c>
      <c r="C133" s="233" t="s">
        <v>27</v>
      </c>
      <c r="D133" s="53" t="s">
        <v>11</v>
      </c>
      <c r="E133" s="76">
        <v>39342</v>
      </c>
      <c r="F133" s="55">
        <f>900-251</f>
        <v>649</v>
      </c>
      <c r="G133" s="56">
        <v>15.58</v>
      </c>
      <c r="H133" s="229">
        <f>14.69/1300</f>
        <v>1.1299999999999999E-2</v>
      </c>
      <c r="I133" s="30">
        <f t="shared" si="81"/>
        <v>10118.753700000001</v>
      </c>
      <c r="J133" s="32">
        <f t="shared" si="72"/>
        <v>15.591300000000002</v>
      </c>
      <c r="K133" s="131">
        <v>39539</v>
      </c>
      <c r="L133" s="56">
        <v>14.49</v>
      </c>
      <c r="M133" s="83">
        <v>1.511111111111111E-2</v>
      </c>
      <c r="N133" s="34">
        <f t="shared" si="82"/>
        <v>9394.202888888889</v>
      </c>
      <c r="O133" s="32">
        <f t="shared" si="83"/>
        <v>14.47488888888889</v>
      </c>
      <c r="P133" s="56">
        <f t="shared" si="84"/>
        <v>-724.55081111111213</v>
      </c>
      <c r="Q133" s="7">
        <f t="shared" si="85"/>
        <v>-7.1604748232098198E-2</v>
      </c>
      <c r="R133" s="17"/>
      <c r="S133" s="233"/>
    </row>
    <row r="134" spans="1:19" hidden="1">
      <c r="B134" s="52" t="s">
        <v>9</v>
      </c>
      <c r="C134" s="233" t="s">
        <v>28</v>
      </c>
      <c r="D134" s="53" t="s">
        <v>11</v>
      </c>
      <c r="E134" s="76">
        <v>38258</v>
      </c>
      <c r="F134" s="55">
        <f>1600-590</f>
        <v>1010</v>
      </c>
      <c r="G134" s="56">
        <v>7.77</v>
      </c>
      <c r="H134" s="274">
        <v>8.6125000000000004E-3</v>
      </c>
      <c r="I134" s="30">
        <f t="shared" si="81"/>
        <v>7856.3986249999998</v>
      </c>
      <c r="J134" s="32">
        <f t="shared" si="72"/>
        <v>7.7786124999999995</v>
      </c>
      <c r="K134" s="131">
        <v>39539</v>
      </c>
      <c r="L134" s="56">
        <v>13.21</v>
      </c>
      <c r="M134" s="83">
        <f>13.65/1010</f>
        <v>1.3514851485148515E-2</v>
      </c>
      <c r="N134" s="34">
        <f t="shared" si="82"/>
        <v>13328.45</v>
      </c>
      <c r="O134" s="32">
        <f t="shared" si="83"/>
        <v>13.196485148514853</v>
      </c>
      <c r="P134" s="56">
        <f t="shared" si="84"/>
        <v>5472.0513750000009</v>
      </c>
      <c r="Q134" s="7">
        <f t="shared" si="85"/>
        <v>0.69650887591004851</v>
      </c>
      <c r="R134" s="17"/>
      <c r="S134" s="233"/>
    </row>
    <row r="135" spans="1:19" hidden="1">
      <c r="B135" s="52" t="s">
        <v>9</v>
      </c>
      <c r="C135" s="233" t="s">
        <v>356</v>
      </c>
      <c r="D135" s="53" t="s">
        <v>11</v>
      </c>
      <c r="E135" s="76">
        <v>39699</v>
      </c>
      <c r="F135" s="55">
        <v>600</v>
      </c>
      <c r="G135" s="56">
        <v>53.77</v>
      </c>
      <c r="H135" s="274">
        <f>20/600</f>
        <v>3.3333333333333333E-2</v>
      </c>
      <c r="I135" s="30">
        <f t="shared" ref="I135:I141" si="86">+(G135+H135)*F135</f>
        <v>32282</v>
      </c>
      <c r="J135" s="32">
        <f t="shared" si="72"/>
        <v>53.803333333333335</v>
      </c>
      <c r="K135" s="131">
        <v>39734</v>
      </c>
      <c r="L135" s="56">
        <v>40.090000000000003</v>
      </c>
      <c r="M135" s="83">
        <v>3.3333333333333333E-2</v>
      </c>
      <c r="N135" s="34">
        <f t="shared" si="82"/>
        <v>24034.000000000004</v>
      </c>
      <c r="O135" s="32">
        <f t="shared" si="83"/>
        <v>40.056666666666672</v>
      </c>
      <c r="P135" s="56">
        <f t="shared" si="84"/>
        <v>-8247.9999999999964</v>
      </c>
      <c r="Q135" s="7">
        <f t="shared" si="85"/>
        <v>-0.25549842017223207</v>
      </c>
      <c r="R135" s="17"/>
      <c r="S135" s="233"/>
    </row>
    <row r="136" spans="1:19" hidden="1">
      <c r="B136" s="52" t="s">
        <v>9</v>
      </c>
      <c r="C136" s="233" t="s">
        <v>360</v>
      </c>
      <c r="D136" s="53" t="s">
        <v>11</v>
      </c>
      <c r="E136" s="76">
        <v>39721</v>
      </c>
      <c r="F136" s="55">
        <v>9827</v>
      </c>
      <c r="G136" s="56">
        <v>2.97</v>
      </c>
      <c r="H136" s="274">
        <f>17.03/F136</f>
        <v>1.7329805637529257E-3</v>
      </c>
      <c r="I136" s="30">
        <f t="shared" si="86"/>
        <v>29203.22</v>
      </c>
      <c r="J136" s="32">
        <f t="shared" ref="J136:J141" si="87">+I136/F136</f>
        <v>2.9717329805637531</v>
      </c>
      <c r="K136" s="131">
        <v>39735</v>
      </c>
      <c r="L136" s="56">
        <v>2.872039</v>
      </c>
      <c r="M136" s="83">
        <f>29.61/10000</f>
        <v>2.9610000000000001E-3</v>
      </c>
      <c r="N136" s="34">
        <f t="shared" si="82"/>
        <v>28194.429506</v>
      </c>
      <c r="O136" s="32">
        <f t="shared" si="83"/>
        <v>2.869078</v>
      </c>
      <c r="P136" s="56">
        <f t="shared" si="84"/>
        <v>-1008.7904940000008</v>
      </c>
      <c r="Q136" s="7">
        <f t="shared" si="85"/>
        <v>-3.454381037433546E-2</v>
      </c>
      <c r="R136" s="17"/>
      <c r="S136" s="233"/>
    </row>
    <row r="137" spans="1:19" hidden="1">
      <c r="B137" s="52" t="s">
        <v>9</v>
      </c>
      <c r="C137" s="233" t="s">
        <v>360</v>
      </c>
      <c r="D137" s="53" t="s">
        <v>11</v>
      </c>
      <c r="E137" s="76">
        <v>39721</v>
      </c>
      <c r="F137" s="55">
        <v>173</v>
      </c>
      <c r="G137" s="56">
        <v>2.98</v>
      </c>
      <c r="H137" s="274">
        <f>2.61/F137</f>
        <v>1.5086705202312138E-2</v>
      </c>
      <c r="I137" s="30">
        <f t="shared" si="86"/>
        <v>518.15</v>
      </c>
      <c r="J137" s="32">
        <f t="shared" si="87"/>
        <v>2.9950867052023118</v>
      </c>
      <c r="K137" s="131">
        <v>39735</v>
      </c>
      <c r="L137" s="56">
        <v>2.872039</v>
      </c>
      <c r="M137" s="83">
        <f>29.61/10000</f>
        <v>2.9610000000000001E-3</v>
      </c>
      <c r="N137" s="34">
        <f t="shared" si="82"/>
        <v>496.35049400000003</v>
      </c>
      <c r="O137" s="32">
        <f t="shared" si="83"/>
        <v>2.869078</v>
      </c>
      <c r="P137" s="56">
        <f t="shared" si="84"/>
        <v>-21.799505999999951</v>
      </c>
      <c r="Q137" s="7">
        <f t="shared" si="85"/>
        <v>-4.2071805461738783E-2</v>
      </c>
      <c r="R137" s="17"/>
      <c r="S137" s="233"/>
    </row>
    <row r="138" spans="1:19" hidden="1">
      <c r="B138" s="52" t="s">
        <v>9</v>
      </c>
      <c r="C138" s="233" t="s">
        <v>27</v>
      </c>
      <c r="D138" s="53" t="s">
        <v>11</v>
      </c>
      <c r="E138" s="76">
        <v>39342</v>
      </c>
      <c r="F138" s="55">
        <v>651</v>
      </c>
      <c r="G138" s="56">
        <v>15.58</v>
      </c>
      <c r="H138" s="229">
        <f>14.69/1300</f>
        <v>1.1299999999999999E-2</v>
      </c>
      <c r="I138" s="30">
        <f t="shared" si="86"/>
        <v>10149.936299999999</v>
      </c>
      <c r="J138" s="32">
        <f t="shared" si="87"/>
        <v>15.591299999999999</v>
      </c>
      <c r="K138" s="131">
        <v>39757</v>
      </c>
      <c r="L138" s="56">
        <v>9.5500000000000007</v>
      </c>
      <c r="M138" s="83">
        <f>37.25/8851</f>
        <v>4.2085640040673373E-3</v>
      </c>
      <c r="N138" s="34">
        <f t="shared" ref="N138:N144" si="88">+(L138-M138)*F138</f>
        <v>6214.3102248333525</v>
      </c>
      <c r="O138" s="32">
        <f t="shared" ref="O138:O144" si="89">+N138/F138</f>
        <v>9.5457914359959339</v>
      </c>
      <c r="P138" s="56">
        <f t="shared" ref="P138:P144" si="90">+N138-I138</f>
        <v>-3935.6260751666468</v>
      </c>
      <c r="Q138" s="7">
        <f t="shared" ref="Q138:Q144" si="91">+P138/I138</f>
        <v>-0.38774884480473509</v>
      </c>
      <c r="R138" s="17"/>
      <c r="S138" s="233"/>
    </row>
    <row r="139" spans="1:19" hidden="1">
      <c r="B139" s="52" t="s">
        <v>9</v>
      </c>
      <c r="C139" s="233" t="s">
        <v>27</v>
      </c>
      <c r="D139" s="53" t="s">
        <v>11</v>
      </c>
      <c r="E139" s="76">
        <v>39749</v>
      </c>
      <c r="F139" s="55">
        <v>8200</v>
      </c>
      <c r="G139" s="56">
        <v>7.39</v>
      </c>
      <c r="H139" s="229">
        <f>34.3/8200</f>
        <v>4.1829268292682921E-3</v>
      </c>
      <c r="I139" s="30">
        <f t="shared" si="86"/>
        <v>60632.3</v>
      </c>
      <c r="J139" s="32">
        <f t="shared" si="87"/>
        <v>7.3941829268292683</v>
      </c>
      <c r="K139" s="131">
        <v>39757</v>
      </c>
      <c r="L139" s="56">
        <v>9.5500000000000007</v>
      </c>
      <c r="M139" s="83">
        <f>37.25/8851</f>
        <v>4.2085640040673373E-3</v>
      </c>
      <c r="N139" s="34">
        <f t="shared" si="88"/>
        <v>78275.489775166658</v>
      </c>
      <c r="O139" s="32">
        <f t="shared" si="89"/>
        <v>9.5457914359959339</v>
      </c>
      <c r="P139" s="56">
        <f t="shared" si="90"/>
        <v>17643.189775166655</v>
      </c>
      <c r="Q139" s="7">
        <f t="shared" si="91"/>
        <v>0.29098664862072943</v>
      </c>
      <c r="R139" s="17"/>
      <c r="S139" s="233"/>
    </row>
    <row r="140" spans="1:19" hidden="1">
      <c r="B140" s="52" t="s">
        <v>9</v>
      </c>
      <c r="C140" s="233" t="s">
        <v>28</v>
      </c>
      <c r="D140" s="53" t="s">
        <v>11</v>
      </c>
      <c r="E140" s="76">
        <v>39468</v>
      </c>
      <c r="F140" s="55">
        <v>480</v>
      </c>
      <c r="G140" s="56">
        <v>11.53</v>
      </c>
      <c r="H140" s="274">
        <f>12.48/480</f>
        <v>2.6000000000000002E-2</v>
      </c>
      <c r="I140" s="30">
        <f t="shared" si="86"/>
        <v>5546.8799999999992</v>
      </c>
      <c r="J140" s="32">
        <f t="shared" si="87"/>
        <v>11.555999999999999</v>
      </c>
      <c r="K140" s="131">
        <v>39752</v>
      </c>
      <c r="L140" s="56">
        <v>8.3800000000000008</v>
      </c>
      <c r="M140" s="83">
        <f>15.76/2480</f>
        <v>6.3548387096774191E-3</v>
      </c>
      <c r="N140" s="34">
        <f t="shared" si="88"/>
        <v>4019.349677419355</v>
      </c>
      <c r="O140" s="32">
        <f t="shared" si="89"/>
        <v>8.3736451612903231</v>
      </c>
      <c r="P140" s="56">
        <f t="shared" si="90"/>
        <v>-1527.5303225806442</v>
      </c>
      <c r="Q140" s="7">
        <f t="shared" si="91"/>
        <v>-0.27538550006141188</v>
      </c>
      <c r="R140" s="17"/>
      <c r="S140" s="233"/>
    </row>
    <row r="141" spans="1:19" hidden="1">
      <c r="B141" s="69" t="s">
        <v>9</v>
      </c>
      <c r="C141" s="232" t="s">
        <v>28</v>
      </c>
      <c r="D141" s="70" t="s">
        <v>11</v>
      </c>
      <c r="E141" s="180">
        <v>39745</v>
      </c>
      <c r="F141" s="72">
        <v>2000</v>
      </c>
      <c r="G141" s="73">
        <v>7.11</v>
      </c>
      <c r="H141" s="238">
        <f>12.48/480</f>
        <v>2.6000000000000002E-2</v>
      </c>
      <c r="I141" s="31">
        <f t="shared" si="86"/>
        <v>14272</v>
      </c>
      <c r="J141" s="33">
        <f t="shared" si="87"/>
        <v>7.1360000000000001</v>
      </c>
      <c r="K141" s="271">
        <v>39752</v>
      </c>
      <c r="L141" s="73">
        <v>8.3800000000000008</v>
      </c>
      <c r="M141" s="84">
        <f>15.76/2480</f>
        <v>6.3548387096774191E-3</v>
      </c>
      <c r="N141" s="35">
        <f t="shared" si="88"/>
        <v>16747.290322580648</v>
      </c>
      <c r="O141" s="33">
        <f t="shared" si="89"/>
        <v>8.3736451612903231</v>
      </c>
      <c r="P141" s="73">
        <f t="shared" si="90"/>
        <v>2475.2903225806476</v>
      </c>
      <c r="Q141" s="15">
        <f t="shared" si="91"/>
        <v>0.17343682192969784</v>
      </c>
      <c r="R141" s="17"/>
      <c r="S141" s="233"/>
    </row>
    <row r="142" spans="1:19">
      <c r="B142" s="77" t="s">
        <v>9</v>
      </c>
      <c r="C142" s="78" t="s">
        <v>360</v>
      </c>
      <c r="D142" s="78" t="s">
        <v>11</v>
      </c>
      <c r="E142" s="79">
        <v>39444</v>
      </c>
      <c r="F142" s="80">
        <v>3500</v>
      </c>
      <c r="G142" s="81">
        <v>2.13</v>
      </c>
      <c r="H142" s="89">
        <f>15.85/10000</f>
        <v>1.585E-3</v>
      </c>
      <c r="I142" s="63">
        <f t="shared" ref="I142:I150" si="92">+(G142+H142)*F142</f>
        <v>7460.5474999999997</v>
      </c>
      <c r="J142" s="64">
        <f t="shared" ref="J142:J156" si="93">+I142/F142</f>
        <v>2.1315849999999998</v>
      </c>
      <c r="K142" s="79">
        <v>39818</v>
      </c>
      <c r="L142" s="81">
        <v>3.29</v>
      </c>
      <c r="M142" s="89">
        <f>14.01/3500</f>
        <v>4.0028571428571431E-3</v>
      </c>
      <c r="N142" s="63">
        <f t="shared" si="88"/>
        <v>11500.990000000002</v>
      </c>
      <c r="O142" s="64">
        <f t="shared" si="89"/>
        <v>3.2859971428571435</v>
      </c>
      <c r="P142" s="59">
        <f t="shared" si="90"/>
        <v>4040.4425000000019</v>
      </c>
      <c r="Q142" s="61">
        <f t="shared" si="91"/>
        <v>0.5415745292151819</v>
      </c>
      <c r="R142" s="609">
        <f>SUM(P142:P168)</f>
        <v>38832.481000000014</v>
      </c>
      <c r="S142" s="608">
        <v>2009</v>
      </c>
    </row>
    <row r="143" spans="1:19" hidden="1">
      <c r="B143" s="52" t="s">
        <v>9</v>
      </c>
      <c r="C143" s="233" t="s">
        <v>27</v>
      </c>
      <c r="D143" s="53" t="s">
        <v>11</v>
      </c>
      <c r="E143" s="76">
        <v>39772</v>
      </c>
      <c r="F143" s="55">
        <v>1000</v>
      </c>
      <c r="G143" s="56">
        <f>+(66.34+32172.19)/4500</f>
        <v>7.1641177777777774</v>
      </c>
      <c r="H143" s="229">
        <f>18.61/4500</f>
        <v>4.1355555555555555E-3</v>
      </c>
      <c r="I143" s="30">
        <f t="shared" si="92"/>
        <v>7168.2533333333322</v>
      </c>
      <c r="J143" s="32">
        <f t="shared" si="93"/>
        <v>7.1682533333333325</v>
      </c>
      <c r="K143" s="131">
        <v>39818</v>
      </c>
      <c r="L143" s="56">
        <v>9.08</v>
      </c>
      <c r="M143" s="83">
        <f>14.01/1000</f>
        <v>1.401E-2</v>
      </c>
      <c r="N143" s="34">
        <f t="shared" si="88"/>
        <v>9065.99</v>
      </c>
      <c r="O143" s="32">
        <f t="shared" si="89"/>
        <v>9.0659899999999993</v>
      </c>
      <c r="P143" s="594">
        <f t="shared" si="90"/>
        <v>1897.7366666666676</v>
      </c>
      <c r="Q143" s="7">
        <f t="shared" si="91"/>
        <v>0.26474185250149285</v>
      </c>
      <c r="R143" s="610"/>
      <c r="S143" s="233"/>
    </row>
    <row r="144" spans="1:19" hidden="1">
      <c r="B144" s="52" t="s">
        <v>9</v>
      </c>
      <c r="C144" s="233" t="s">
        <v>28</v>
      </c>
      <c r="D144" s="53" t="s">
        <v>11</v>
      </c>
      <c r="E144" s="76">
        <v>39772</v>
      </c>
      <c r="F144" s="55">
        <v>1500</v>
      </c>
      <c r="G144" s="56">
        <v>5</v>
      </c>
      <c r="H144" s="229">
        <f>17.15/6000</f>
        <v>2.858333333333333E-3</v>
      </c>
      <c r="I144" s="30">
        <f t="shared" si="92"/>
        <v>7504.2874999999995</v>
      </c>
      <c r="J144" s="32">
        <f t="shared" si="93"/>
        <v>5.0028583333333332</v>
      </c>
      <c r="K144" s="131">
        <v>39818</v>
      </c>
      <c r="L144" s="56">
        <v>7.09</v>
      </c>
      <c r="M144" s="83">
        <f>14.25/1500</f>
        <v>9.4999999999999998E-3</v>
      </c>
      <c r="N144" s="34">
        <f t="shared" si="88"/>
        <v>10620.75</v>
      </c>
      <c r="O144" s="32">
        <f t="shared" si="89"/>
        <v>7.0804999999999998</v>
      </c>
      <c r="P144" s="594">
        <f t="shared" si="90"/>
        <v>3116.4625000000005</v>
      </c>
      <c r="Q144" s="7">
        <f t="shared" si="91"/>
        <v>0.4152909253543392</v>
      </c>
      <c r="R144" s="610">
        <f>SUM(P142:P144)</f>
        <v>9054.6416666666701</v>
      </c>
      <c r="S144" s="233"/>
    </row>
    <row r="145" spans="2:19" hidden="1">
      <c r="B145" s="52" t="s">
        <v>9</v>
      </c>
      <c r="C145" s="233" t="s">
        <v>13</v>
      </c>
      <c r="D145" s="53" t="s">
        <v>11</v>
      </c>
      <c r="E145" s="76">
        <v>39444</v>
      </c>
      <c r="F145" s="55">
        <v>2000</v>
      </c>
      <c r="G145" s="56">
        <v>5.22</v>
      </c>
      <c r="H145" s="229">
        <f>15.79/4000</f>
        <v>3.9474999999999996E-3</v>
      </c>
      <c r="I145" s="30">
        <f t="shared" si="92"/>
        <v>10447.894999999999</v>
      </c>
      <c r="J145" s="32">
        <f t="shared" si="93"/>
        <v>5.2239474999999995</v>
      </c>
      <c r="K145" s="131">
        <v>39826</v>
      </c>
      <c r="L145" s="56">
        <v>6.13</v>
      </c>
      <c r="M145" s="83">
        <f>14.49/F145</f>
        <v>7.2449999999999997E-3</v>
      </c>
      <c r="N145" s="34">
        <f t="shared" ref="N145:N150" si="94">+(L145-M145)*F145</f>
        <v>12245.51</v>
      </c>
      <c r="O145" s="32">
        <f t="shared" ref="O145:O150" si="95">+N145/F145</f>
        <v>6.1227549999999997</v>
      </c>
      <c r="P145" s="594">
        <f t="shared" ref="P145:P150" si="96">+N145-I145</f>
        <v>1797.6150000000016</v>
      </c>
      <c r="Q145" s="7">
        <f t="shared" ref="Q145:Q150" si="97">+P145/I145</f>
        <v>0.17205523217834806</v>
      </c>
      <c r="R145" s="610"/>
      <c r="S145" s="233"/>
    </row>
    <row r="146" spans="2:19" hidden="1">
      <c r="B146" s="52" t="s">
        <v>9</v>
      </c>
      <c r="C146" s="233" t="s">
        <v>27</v>
      </c>
      <c r="D146" s="53" t="s">
        <v>11</v>
      </c>
      <c r="E146" s="76">
        <v>39772</v>
      </c>
      <c r="F146" s="55">
        <v>2000</v>
      </c>
      <c r="G146" s="56">
        <f>+(66.34+32172.19)/4500</f>
        <v>7.1641177777777774</v>
      </c>
      <c r="H146" s="229">
        <f>18.61/4500</f>
        <v>4.1355555555555555E-3</v>
      </c>
      <c r="I146" s="30">
        <f t="shared" si="92"/>
        <v>14336.506666666664</v>
      </c>
      <c r="J146" s="32">
        <f t="shared" si="93"/>
        <v>7.1682533333333325</v>
      </c>
      <c r="K146" s="131">
        <v>39826</v>
      </c>
      <c r="L146" s="56">
        <v>8</v>
      </c>
      <c r="M146" s="83">
        <f>15.05/F146</f>
        <v>7.5250000000000004E-3</v>
      </c>
      <c r="N146" s="34">
        <f t="shared" si="94"/>
        <v>15984.949999999999</v>
      </c>
      <c r="O146" s="32">
        <f t="shared" si="95"/>
        <v>7.9924749999999998</v>
      </c>
      <c r="P146" s="594">
        <f t="shared" si="96"/>
        <v>1648.4433333333345</v>
      </c>
      <c r="Q146" s="7">
        <f t="shared" si="97"/>
        <v>0.11498221789036484</v>
      </c>
      <c r="R146" s="610"/>
      <c r="S146" s="233"/>
    </row>
    <row r="147" spans="2:19" hidden="1">
      <c r="B147" s="52" t="s">
        <v>9</v>
      </c>
      <c r="C147" s="233" t="s">
        <v>28</v>
      </c>
      <c r="D147" s="53" t="s">
        <v>11</v>
      </c>
      <c r="E147" s="76">
        <v>39772</v>
      </c>
      <c r="F147" s="55">
        <f>2000</f>
        <v>2000</v>
      </c>
      <c r="G147" s="56">
        <v>5</v>
      </c>
      <c r="H147" s="229">
        <f>17.15/6000</f>
        <v>2.858333333333333E-3</v>
      </c>
      <c r="I147" s="30">
        <f t="shared" si="92"/>
        <v>10005.716666666667</v>
      </c>
      <c r="J147" s="32">
        <f t="shared" si="93"/>
        <v>5.0028583333333332</v>
      </c>
      <c r="K147" s="131">
        <v>39826</v>
      </c>
      <c r="L147" s="56">
        <v>6.53</v>
      </c>
      <c r="M147" s="83">
        <f>14.61/F147</f>
        <v>7.3049999999999999E-3</v>
      </c>
      <c r="N147" s="34">
        <f t="shared" si="94"/>
        <v>13045.390000000001</v>
      </c>
      <c r="O147" s="32">
        <f t="shared" si="95"/>
        <v>6.5226950000000006</v>
      </c>
      <c r="P147" s="594">
        <f t="shared" si="96"/>
        <v>3039.6733333333341</v>
      </c>
      <c r="Q147" s="7">
        <f t="shared" si="97"/>
        <v>0.30379366462172464</v>
      </c>
      <c r="R147" s="610"/>
      <c r="S147" s="233"/>
    </row>
    <row r="148" spans="2:19" hidden="1">
      <c r="B148" s="52" t="s">
        <v>9</v>
      </c>
      <c r="C148" s="233" t="s">
        <v>404</v>
      </c>
      <c r="D148" s="53" t="s">
        <v>11</v>
      </c>
      <c r="E148" s="76">
        <v>39818</v>
      </c>
      <c r="F148" s="55">
        <v>1000</v>
      </c>
      <c r="G148" s="56">
        <v>13.05</v>
      </c>
      <c r="H148" s="229">
        <f>14.61/1000</f>
        <v>1.461E-2</v>
      </c>
      <c r="I148" s="30">
        <f t="shared" si="92"/>
        <v>13064.61</v>
      </c>
      <c r="J148" s="32">
        <f t="shared" si="93"/>
        <v>13.06461</v>
      </c>
      <c r="K148" s="131">
        <v>39826</v>
      </c>
      <c r="L148" s="56">
        <v>13.46</v>
      </c>
      <c r="M148" s="83">
        <f>14.87/1100</f>
        <v>1.3518181818181818E-2</v>
      </c>
      <c r="N148" s="34">
        <f t="shared" si="94"/>
        <v>13446.481818181819</v>
      </c>
      <c r="O148" s="32">
        <f t="shared" si="95"/>
        <v>13.44648181818182</v>
      </c>
      <c r="P148" s="594">
        <f t="shared" si="96"/>
        <v>381.87181818181853</v>
      </c>
      <c r="Q148" s="7">
        <f t="shared" si="97"/>
        <v>2.9229484705767604E-2</v>
      </c>
      <c r="R148" s="610"/>
      <c r="S148" s="233"/>
    </row>
    <row r="149" spans="2:19" hidden="1">
      <c r="B149" s="52" t="s">
        <v>9</v>
      </c>
      <c r="C149" s="233" t="s">
        <v>404</v>
      </c>
      <c r="D149" s="53" t="s">
        <v>11</v>
      </c>
      <c r="E149" s="76">
        <v>39818</v>
      </c>
      <c r="F149" s="55">
        <v>100</v>
      </c>
      <c r="G149" s="56">
        <v>13.1</v>
      </c>
      <c r="H149" s="229">
        <f>2.8/100</f>
        <v>2.7999999999999997E-2</v>
      </c>
      <c r="I149" s="30">
        <f t="shared" si="92"/>
        <v>1312.8</v>
      </c>
      <c r="J149" s="32">
        <f t="shared" si="93"/>
        <v>13.128</v>
      </c>
      <c r="K149" s="131">
        <v>39826</v>
      </c>
      <c r="L149" s="56">
        <v>13.46</v>
      </c>
      <c r="M149" s="83">
        <f>14.87/1100</f>
        <v>1.3518181818181818E-2</v>
      </c>
      <c r="N149" s="34">
        <f t="shared" si="94"/>
        <v>1344.6481818181819</v>
      </c>
      <c r="O149" s="32">
        <f t="shared" si="95"/>
        <v>13.44648181818182</v>
      </c>
      <c r="P149" s="594">
        <f t="shared" si="96"/>
        <v>31.848181818181956</v>
      </c>
      <c r="Q149" s="7">
        <f t="shared" si="97"/>
        <v>2.4259736302698016E-2</v>
      </c>
      <c r="R149" s="610"/>
      <c r="S149" s="233"/>
    </row>
    <row r="150" spans="2:19" hidden="1">
      <c r="B150" s="52" t="s">
        <v>9</v>
      </c>
      <c r="C150" s="233" t="s">
        <v>360</v>
      </c>
      <c r="D150" s="53" t="s">
        <v>11</v>
      </c>
      <c r="E150" s="76">
        <v>39444</v>
      </c>
      <c r="F150" s="55">
        <v>3500</v>
      </c>
      <c r="G150" s="56">
        <v>2.13</v>
      </c>
      <c r="H150" s="229">
        <f>15.85/10000</f>
        <v>1.585E-3</v>
      </c>
      <c r="I150" s="30">
        <f t="shared" si="92"/>
        <v>7460.5474999999997</v>
      </c>
      <c r="J150" s="32">
        <f t="shared" si="93"/>
        <v>2.1315849999999998</v>
      </c>
      <c r="K150" s="131">
        <v>39826</v>
      </c>
      <c r="L150" s="56">
        <v>3</v>
      </c>
      <c r="M150" s="83">
        <f>14.23/F150</f>
        <v>4.0657142857142862E-3</v>
      </c>
      <c r="N150" s="34">
        <f t="shared" si="94"/>
        <v>10485.77</v>
      </c>
      <c r="O150" s="32">
        <f t="shared" si="95"/>
        <v>2.9959342857142857</v>
      </c>
      <c r="P150" s="594">
        <f t="shared" si="96"/>
        <v>3025.2225000000008</v>
      </c>
      <c r="Q150" s="7">
        <f t="shared" si="97"/>
        <v>0.40549604435867487</v>
      </c>
      <c r="R150" s="610">
        <f>SUM(P145:P150)</f>
        <v>9924.6741666666712</v>
      </c>
      <c r="S150" s="233"/>
    </row>
    <row r="151" spans="2:19" hidden="1">
      <c r="B151" s="52" t="s">
        <v>9</v>
      </c>
      <c r="C151" s="233" t="s">
        <v>28</v>
      </c>
      <c r="D151" s="53" t="s">
        <v>11</v>
      </c>
      <c r="E151" s="76">
        <v>39772</v>
      </c>
      <c r="F151" s="55">
        <f>6000-1500-2000</f>
        <v>2500</v>
      </c>
      <c r="G151" s="56">
        <v>5</v>
      </c>
      <c r="H151" s="229">
        <f>17.15/6000</f>
        <v>2.858333333333333E-3</v>
      </c>
      <c r="I151" s="30">
        <f t="shared" ref="I151:I158" si="98">+(G151+H151)*F151</f>
        <v>12507.145833333332</v>
      </c>
      <c r="J151" s="32">
        <f t="shared" si="93"/>
        <v>5.0028583333333332</v>
      </c>
      <c r="K151" s="131">
        <v>39833</v>
      </c>
      <c r="L151" s="56">
        <v>5.53</v>
      </c>
      <c r="M151" s="83">
        <f>14.72/F151</f>
        <v>5.888E-3</v>
      </c>
      <c r="N151" s="34">
        <f t="shared" ref="N151:N157" si="99">+(L151-M151)*F151</f>
        <v>13810.28</v>
      </c>
      <c r="O151" s="32">
        <f t="shared" ref="O151:O157" si="100">+N151/F151</f>
        <v>5.5241120000000006</v>
      </c>
      <c r="P151" s="594">
        <f t="shared" ref="P151:P157" si="101">+N151-I151</f>
        <v>1303.1341666666685</v>
      </c>
      <c r="Q151" s="7">
        <f t="shared" ref="Q151:Q157" si="102">+P151/I151</f>
        <v>0.10419117071407528</v>
      </c>
      <c r="R151" s="610"/>
      <c r="S151" s="233"/>
    </row>
    <row r="152" spans="2:19" hidden="1">
      <c r="B152" s="52" t="s">
        <v>9</v>
      </c>
      <c r="C152" s="233" t="s">
        <v>13</v>
      </c>
      <c r="D152" s="53" t="s">
        <v>11</v>
      </c>
      <c r="E152" s="76">
        <v>39444</v>
      </c>
      <c r="F152" s="55">
        <f>4000-2000</f>
        <v>2000</v>
      </c>
      <c r="G152" s="56">
        <v>5.22</v>
      </c>
      <c r="H152" s="229">
        <f>15.79/4000</f>
        <v>3.9474999999999996E-3</v>
      </c>
      <c r="I152" s="30">
        <f t="shared" si="98"/>
        <v>10447.894999999999</v>
      </c>
      <c r="J152" s="32">
        <f t="shared" si="93"/>
        <v>5.2239474999999995</v>
      </c>
      <c r="K152" s="131">
        <v>39832</v>
      </c>
      <c r="L152" s="56">
        <v>6.11</v>
      </c>
      <c r="M152" s="83">
        <f>14.49/F152</f>
        <v>7.2449999999999997E-3</v>
      </c>
      <c r="N152" s="34">
        <f t="shared" si="99"/>
        <v>12205.51</v>
      </c>
      <c r="O152" s="32">
        <f t="shared" si="100"/>
        <v>6.1027550000000002</v>
      </c>
      <c r="P152" s="594">
        <f t="shared" si="101"/>
        <v>1757.6150000000016</v>
      </c>
      <c r="Q152" s="7">
        <f t="shared" si="102"/>
        <v>0.16822670978220988</v>
      </c>
      <c r="R152" s="610">
        <f>+P151+P152</f>
        <v>3060.7491666666701</v>
      </c>
      <c r="S152" s="233"/>
    </row>
    <row r="153" spans="2:19" hidden="1">
      <c r="B153" s="52" t="s">
        <v>9</v>
      </c>
      <c r="C153" s="233" t="s">
        <v>27</v>
      </c>
      <c r="D153" s="53" t="s">
        <v>11</v>
      </c>
      <c r="E153" s="76">
        <v>39772</v>
      </c>
      <c r="F153" s="55">
        <f>4500-1000-2000</f>
        <v>1500</v>
      </c>
      <c r="G153" s="56">
        <f>+(66.34+32172.19)/4500</f>
        <v>7.1641177777777774</v>
      </c>
      <c r="H153" s="229">
        <f>18.61/4500</f>
        <v>4.1355555555555555E-3</v>
      </c>
      <c r="I153" s="30">
        <f t="shared" si="98"/>
        <v>10752.38</v>
      </c>
      <c r="J153" s="32">
        <f t="shared" si="93"/>
        <v>7.1682533333333325</v>
      </c>
      <c r="K153" s="131">
        <v>39868</v>
      </c>
      <c r="L153" s="56">
        <v>5.58</v>
      </c>
      <c r="M153" s="83">
        <f>14.74/2500</f>
        <v>5.8960000000000002E-3</v>
      </c>
      <c r="N153" s="34">
        <f t="shared" si="99"/>
        <v>8361.1560000000009</v>
      </c>
      <c r="O153" s="32">
        <f t="shared" si="100"/>
        <v>5.5741040000000002</v>
      </c>
      <c r="P153" s="594">
        <f t="shared" si="101"/>
        <v>-2391.2239999999983</v>
      </c>
      <c r="Q153" s="7">
        <f t="shared" si="102"/>
        <v>-0.22239020570329532</v>
      </c>
      <c r="R153" s="610"/>
      <c r="S153" s="233"/>
    </row>
    <row r="154" spans="2:19" hidden="1">
      <c r="B154" s="52" t="s">
        <v>9</v>
      </c>
      <c r="C154" s="233" t="s">
        <v>27</v>
      </c>
      <c r="D154" s="53" t="s">
        <v>11</v>
      </c>
      <c r="E154" s="76">
        <v>39836</v>
      </c>
      <c r="F154" s="55">
        <v>1000</v>
      </c>
      <c r="G154" s="56">
        <f>(3679*6.36+321*6.37)/4000</f>
        <v>6.360802500000001</v>
      </c>
      <c r="H154" s="229">
        <v>4.79E-3</v>
      </c>
      <c r="I154" s="30">
        <f t="shared" si="98"/>
        <v>6365.5925000000007</v>
      </c>
      <c r="J154" s="32">
        <f t="shared" si="93"/>
        <v>6.3655925000000009</v>
      </c>
      <c r="K154" s="131">
        <v>39868</v>
      </c>
      <c r="L154" s="56">
        <v>5.58</v>
      </c>
      <c r="M154" s="83">
        <f>14.49/F154</f>
        <v>1.4489999999999999E-2</v>
      </c>
      <c r="N154" s="34">
        <f t="shared" si="99"/>
        <v>5565.5099999999993</v>
      </c>
      <c r="O154" s="32">
        <f t="shared" si="100"/>
        <v>5.5655099999999997</v>
      </c>
      <c r="P154" s="594">
        <f t="shared" si="101"/>
        <v>-800.08250000000135</v>
      </c>
      <c r="Q154" s="7">
        <f t="shared" si="102"/>
        <v>-0.12568861421776548</v>
      </c>
      <c r="R154" s="610"/>
      <c r="S154" s="233"/>
    </row>
    <row r="155" spans="2:19" hidden="1">
      <c r="B155" s="52" t="s">
        <v>9</v>
      </c>
      <c r="C155" s="233" t="s">
        <v>28</v>
      </c>
      <c r="D155" s="53" t="s">
        <v>11</v>
      </c>
      <c r="E155" s="76">
        <v>39836</v>
      </c>
      <c r="F155" s="55">
        <v>2500</v>
      </c>
      <c r="G155" s="56">
        <v>5.22</v>
      </c>
      <c r="H155" s="229">
        <f>16.56/F155</f>
        <v>6.6239999999999997E-3</v>
      </c>
      <c r="I155" s="30">
        <f t="shared" si="98"/>
        <v>13066.56</v>
      </c>
      <c r="J155" s="32">
        <f t="shared" si="93"/>
        <v>5.2266240000000002</v>
      </c>
      <c r="K155" s="131">
        <v>39868</v>
      </c>
      <c r="L155" s="56">
        <v>4.79</v>
      </c>
      <c r="M155" s="83">
        <f>14.45/2500</f>
        <v>5.7799999999999995E-3</v>
      </c>
      <c r="N155" s="34">
        <f t="shared" si="99"/>
        <v>11960.550000000001</v>
      </c>
      <c r="O155" s="32">
        <f t="shared" si="100"/>
        <v>4.7842200000000004</v>
      </c>
      <c r="P155" s="594">
        <f t="shared" si="101"/>
        <v>-1106.0099999999984</v>
      </c>
      <c r="Q155" s="7">
        <f t="shared" si="102"/>
        <v>-8.4644313422966605E-2</v>
      </c>
      <c r="R155" s="610"/>
      <c r="S155" s="233"/>
    </row>
    <row r="156" spans="2:19" hidden="1">
      <c r="B156" s="52" t="s">
        <v>9</v>
      </c>
      <c r="C156" s="233" t="s">
        <v>27</v>
      </c>
      <c r="D156" s="53" t="s">
        <v>11</v>
      </c>
      <c r="E156" s="76">
        <v>39836</v>
      </c>
      <c r="F156" s="55">
        <f>4000-1000</f>
        <v>3000</v>
      </c>
      <c r="G156" s="56">
        <f>(3679*6.36+321*6.37)/4000</f>
        <v>6.360802500000001</v>
      </c>
      <c r="H156" s="229">
        <v>4.79E-3</v>
      </c>
      <c r="I156" s="30">
        <f t="shared" si="98"/>
        <v>19096.777500000004</v>
      </c>
      <c r="J156" s="32">
        <f t="shared" si="93"/>
        <v>6.3655925000000009</v>
      </c>
      <c r="K156" s="131">
        <v>39878</v>
      </c>
      <c r="L156" s="56">
        <v>4.74</v>
      </c>
      <c r="M156" s="83">
        <f>15.14/3500</f>
        <v>4.325714285714286E-3</v>
      </c>
      <c r="N156" s="34">
        <f t="shared" si="99"/>
        <v>14207.022857142856</v>
      </c>
      <c r="O156" s="32">
        <f t="shared" si="100"/>
        <v>4.7356742857142855</v>
      </c>
      <c r="P156" s="594">
        <f t="shared" si="101"/>
        <v>-4889.7546428571477</v>
      </c>
      <c r="Q156" s="7">
        <f t="shared" si="102"/>
        <v>-0.25605129676235411</v>
      </c>
      <c r="R156" s="610"/>
      <c r="S156" s="233"/>
    </row>
    <row r="157" spans="2:19" hidden="1">
      <c r="B157" s="52" t="s">
        <v>9</v>
      </c>
      <c r="C157" s="233" t="s">
        <v>27</v>
      </c>
      <c r="D157" s="53" t="s">
        <v>11</v>
      </c>
      <c r="E157" s="76">
        <v>39875</v>
      </c>
      <c r="F157" s="55">
        <v>500</v>
      </c>
      <c r="G157" s="56">
        <v>5.18</v>
      </c>
      <c r="H157" s="229">
        <f>15.76/4000</f>
        <v>3.9399999999999999E-3</v>
      </c>
      <c r="I157" s="30">
        <f t="shared" si="98"/>
        <v>2591.9699999999998</v>
      </c>
      <c r="J157" s="32">
        <f t="shared" ref="J157:J163" si="103">+I157/F157</f>
        <v>5.1839399999999998</v>
      </c>
      <c r="K157" s="131">
        <v>39878</v>
      </c>
      <c r="L157" s="56">
        <v>4.74</v>
      </c>
      <c r="M157" s="83">
        <f>15.14/3500</f>
        <v>4.325714285714286E-3</v>
      </c>
      <c r="N157" s="34">
        <f t="shared" si="99"/>
        <v>2367.8371428571427</v>
      </c>
      <c r="O157" s="32">
        <f t="shared" si="100"/>
        <v>4.7356742857142855</v>
      </c>
      <c r="P157" s="594">
        <f t="shared" si="101"/>
        <v>-224.13285714285712</v>
      </c>
      <c r="Q157" s="7">
        <f t="shared" si="102"/>
        <v>-8.6472010533631613E-2</v>
      </c>
      <c r="R157" s="610">
        <f>SUM(P153:P157)</f>
        <v>-9411.2040000000015</v>
      </c>
      <c r="S157" s="233"/>
    </row>
    <row r="158" spans="2:19" hidden="1">
      <c r="B158" s="52" t="s">
        <v>9</v>
      </c>
      <c r="C158" s="233" t="s">
        <v>28</v>
      </c>
      <c r="D158" s="53" t="s">
        <v>11</v>
      </c>
      <c r="E158" s="76">
        <v>39836</v>
      </c>
      <c r="F158" s="55">
        <v>2500</v>
      </c>
      <c r="G158" s="56">
        <v>5.22</v>
      </c>
      <c r="H158" s="229">
        <v>3.3119999999999998E-3</v>
      </c>
      <c r="I158" s="30">
        <f t="shared" si="98"/>
        <v>13058.28</v>
      </c>
      <c r="J158" s="32">
        <f t="shared" si="103"/>
        <v>5.223312</v>
      </c>
      <c r="K158" s="131">
        <v>39906</v>
      </c>
      <c r="L158" s="56">
        <v>5.98</v>
      </c>
      <c r="M158" s="83">
        <f>14.89/2500</f>
        <v>5.9560000000000004E-3</v>
      </c>
      <c r="N158" s="34">
        <f t="shared" ref="N158:N163" si="104">+(L158-M158)*F158</f>
        <v>14935.11</v>
      </c>
      <c r="O158" s="32">
        <f t="shared" ref="O158:O163" si="105">+N158/F158</f>
        <v>5.9740440000000001</v>
      </c>
      <c r="P158" s="594">
        <f t="shared" ref="P158:P163" si="106">+N158-I158</f>
        <v>1876.83</v>
      </c>
      <c r="Q158" s="7">
        <f t="shared" ref="Q158:Q163" si="107">+P158/I158</f>
        <v>0.14372719837528372</v>
      </c>
      <c r="R158" s="610"/>
      <c r="S158" s="233"/>
    </row>
    <row r="159" spans="2:19" hidden="1">
      <c r="B159" s="52" t="s">
        <v>9</v>
      </c>
      <c r="C159" s="233" t="s">
        <v>27</v>
      </c>
      <c r="D159" s="53" t="s">
        <v>11</v>
      </c>
      <c r="E159" s="76">
        <v>39875</v>
      </c>
      <c r="F159" s="55">
        <v>2500</v>
      </c>
      <c r="G159" s="56">
        <v>5.18</v>
      </c>
      <c r="H159" s="229">
        <f>15.76/4000</f>
        <v>3.9399999999999999E-3</v>
      </c>
      <c r="I159" s="30">
        <f t="shared" ref="I159:I166" si="108">+(G159+H159)*F159</f>
        <v>12959.849999999999</v>
      </c>
      <c r="J159" s="32">
        <f t="shared" si="103"/>
        <v>5.1839399999999998</v>
      </c>
      <c r="K159" s="131">
        <v>39906</v>
      </c>
      <c r="L159" s="56">
        <v>7.1</v>
      </c>
      <c r="M159" s="83">
        <f>15.31/2500</f>
        <v>6.1240000000000001E-3</v>
      </c>
      <c r="N159" s="34">
        <f t="shared" si="104"/>
        <v>17734.689999999999</v>
      </c>
      <c r="O159" s="32">
        <f t="shared" si="105"/>
        <v>7.0938759999999998</v>
      </c>
      <c r="P159" s="594">
        <f t="shared" si="106"/>
        <v>4774.84</v>
      </c>
      <c r="Q159" s="7">
        <f t="shared" si="107"/>
        <v>0.36843327661971403</v>
      </c>
      <c r="R159" s="610">
        <f>SUM(P158:P159)</f>
        <v>6651.67</v>
      </c>
      <c r="S159" s="233"/>
    </row>
    <row r="160" spans="2:19" hidden="1">
      <c r="B160" s="52" t="s">
        <v>9</v>
      </c>
      <c r="C160" s="233" t="s">
        <v>27</v>
      </c>
      <c r="D160" s="53" t="s">
        <v>11</v>
      </c>
      <c r="E160" s="76">
        <v>39875</v>
      </c>
      <c r="F160" s="55">
        <f>3500-2500</f>
        <v>1000</v>
      </c>
      <c r="G160" s="56">
        <v>5.18</v>
      </c>
      <c r="H160" s="229">
        <f>15.76/4000</f>
        <v>3.9399999999999999E-3</v>
      </c>
      <c r="I160" s="30">
        <f t="shared" si="108"/>
        <v>5183.9399999999996</v>
      </c>
      <c r="J160" s="32">
        <f t="shared" si="103"/>
        <v>5.1839399999999998</v>
      </c>
      <c r="K160" s="131">
        <v>39944</v>
      </c>
      <c r="L160" s="56">
        <v>8.77</v>
      </c>
      <c r="M160" s="83">
        <v>1.3779527559055118E-2</v>
      </c>
      <c r="N160" s="34">
        <f t="shared" si="104"/>
        <v>8756.2204724409439</v>
      </c>
      <c r="O160" s="32">
        <f t="shared" si="105"/>
        <v>8.756220472440944</v>
      </c>
      <c r="P160" s="594">
        <f t="shared" si="106"/>
        <v>3572.2804724409443</v>
      </c>
      <c r="Q160" s="7">
        <f t="shared" si="107"/>
        <v>0.68910528911232471</v>
      </c>
      <c r="R160" s="610"/>
      <c r="S160" s="233"/>
    </row>
    <row r="161" spans="2:19" hidden="1">
      <c r="B161" s="52" t="s">
        <v>9</v>
      </c>
      <c r="C161" s="233" t="s">
        <v>27</v>
      </c>
      <c r="D161" s="53" t="s">
        <v>11</v>
      </c>
      <c r="E161" s="76">
        <v>39923</v>
      </c>
      <c r="F161" s="55">
        <v>16</v>
      </c>
      <c r="G161" s="56">
        <v>0</v>
      </c>
      <c r="H161" s="229">
        <v>0</v>
      </c>
      <c r="I161" s="30">
        <f t="shared" si="108"/>
        <v>0</v>
      </c>
      <c r="J161" s="32">
        <f t="shared" si="103"/>
        <v>0</v>
      </c>
      <c r="K161" s="131">
        <v>39944</v>
      </c>
      <c r="L161" s="56">
        <v>8.77</v>
      </c>
      <c r="M161" s="83">
        <v>1.3779527559055118E-2</v>
      </c>
      <c r="N161" s="34">
        <f t="shared" si="104"/>
        <v>140.0995275590551</v>
      </c>
      <c r="O161" s="32">
        <f t="shared" si="105"/>
        <v>8.756220472440944</v>
      </c>
      <c r="P161" s="594">
        <f t="shared" si="106"/>
        <v>140.0995275590551</v>
      </c>
      <c r="Q161" s="7" t="e">
        <f t="shared" si="107"/>
        <v>#DIV/0!</v>
      </c>
      <c r="R161" s="610"/>
      <c r="S161" s="233"/>
    </row>
    <row r="162" spans="2:19" hidden="1">
      <c r="B162" s="52" t="s">
        <v>9</v>
      </c>
      <c r="C162" s="233" t="s">
        <v>360</v>
      </c>
      <c r="D162" s="53" t="s">
        <v>11</v>
      </c>
      <c r="E162" s="76">
        <v>39444</v>
      </c>
      <c r="F162" s="55">
        <f>10000-3500-3500</f>
        <v>3000</v>
      </c>
      <c r="G162" s="56">
        <v>2.13</v>
      </c>
      <c r="H162" s="229">
        <f>15.85/10000</f>
        <v>1.585E-3</v>
      </c>
      <c r="I162" s="30">
        <f t="shared" si="108"/>
        <v>6394.7549999999992</v>
      </c>
      <c r="J162" s="32">
        <f t="shared" si="103"/>
        <v>2.1315849999999998</v>
      </c>
      <c r="K162" s="131">
        <v>39944</v>
      </c>
      <c r="L162" s="56">
        <v>3.34</v>
      </c>
      <c r="M162" s="83">
        <f>14.15/3000</f>
        <v>4.7166666666666668E-3</v>
      </c>
      <c r="N162" s="34">
        <f t="shared" si="104"/>
        <v>10005.85</v>
      </c>
      <c r="O162" s="32">
        <f t="shared" si="105"/>
        <v>3.3352833333333334</v>
      </c>
      <c r="P162" s="594">
        <f t="shared" si="106"/>
        <v>3611.0950000000012</v>
      </c>
      <c r="Q162" s="7">
        <f t="shared" si="107"/>
        <v>0.56469638008023793</v>
      </c>
      <c r="R162" s="610"/>
      <c r="S162" s="233"/>
    </row>
    <row r="163" spans="2:19" hidden="1">
      <c r="B163" s="52" t="s">
        <v>9</v>
      </c>
      <c r="C163" s="233" t="s">
        <v>315</v>
      </c>
      <c r="D163" s="53" t="s">
        <v>11</v>
      </c>
      <c r="E163" s="76">
        <v>39444</v>
      </c>
      <c r="F163" s="55">
        <v>20000</v>
      </c>
      <c r="G163" s="56">
        <v>0</v>
      </c>
      <c r="H163" s="229">
        <v>0</v>
      </c>
      <c r="I163" s="30">
        <f t="shared" si="108"/>
        <v>0</v>
      </c>
      <c r="J163" s="32">
        <f t="shared" si="103"/>
        <v>0</v>
      </c>
      <c r="K163" s="131">
        <v>40002</v>
      </c>
      <c r="L163" s="56">
        <v>4.1000000000000002E-2</v>
      </c>
      <c r="M163" s="83">
        <f>3.69/F163</f>
        <v>1.8449999999999999E-4</v>
      </c>
      <c r="N163" s="34">
        <f t="shared" si="104"/>
        <v>816.31000000000006</v>
      </c>
      <c r="O163" s="32">
        <f t="shared" si="105"/>
        <v>4.0815500000000005E-2</v>
      </c>
      <c r="P163" s="594">
        <f t="shared" si="106"/>
        <v>816.31000000000006</v>
      </c>
      <c r="Q163" s="7" t="e">
        <f t="shared" si="107"/>
        <v>#DIV/0!</v>
      </c>
      <c r="R163" s="610">
        <f>SUM(P160:P163)</f>
        <v>8139.7850000000008</v>
      </c>
      <c r="S163" s="607" t="s">
        <v>601</v>
      </c>
    </row>
    <row r="164" spans="2:19" hidden="1">
      <c r="B164" s="52" t="s">
        <v>9</v>
      </c>
      <c r="C164" s="233" t="s">
        <v>462</v>
      </c>
      <c r="D164" s="53" t="s">
        <v>11</v>
      </c>
      <c r="E164" s="76">
        <v>39959</v>
      </c>
      <c r="F164" s="55">
        <v>4000</v>
      </c>
      <c r="G164" s="56">
        <f>+(700*3.71+3300*3.73)/4000</f>
        <v>3.7265000000000001</v>
      </c>
      <c r="H164" s="229">
        <f>17.65/4000</f>
        <v>4.4124999999999998E-3</v>
      </c>
      <c r="I164" s="30">
        <f t="shared" si="108"/>
        <v>14923.65</v>
      </c>
      <c r="J164" s="32">
        <f t="shared" ref="J164:J172" si="109">+I164/F164</f>
        <v>3.7309125000000001</v>
      </c>
      <c r="K164" s="131">
        <v>40121</v>
      </c>
      <c r="L164" s="56">
        <v>1.99</v>
      </c>
      <c r="M164" s="83">
        <f>13.85/4000</f>
        <v>3.4624999999999999E-3</v>
      </c>
      <c r="N164" s="34">
        <f t="shared" ref="N164:N172" si="110">+(L164-M164)*F164</f>
        <v>7946.1500000000005</v>
      </c>
      <c r="O164" s="32">
        <f t="shared" ref="O164:O172" si="111">+N164/F164</f>
        <v>1.9865375000000001</v>
      </c>
      <c r="P164" s="594">
        <f t="shared" ref="P164:P172" si="112">+N164-I164</f>
        <v>-6977.4999999999991</v>
      </c>
      <c r="Q164" s="7">
        <f t="shared" ref="Q164:Q172" si="113">+P164/I164</f>
        <v>-0.46754647824091289</v>
      </c>
      <c r="R164" s="610">
        <f>+P164</f>
        <v>-6977.4999999999991</v>
      </c>
      <c r="S164" s="233"/>
    </row>
    <row r="165" spans="2:19" hidden="1">
      <c r="B165" s="52" t="s">
        <v>9</v>
      </c>
      <c r="C165" s="233" t="s">
        <v>404</v>
      </c>
      <c r="D165" s="53" t="s">
        <v>11</v>
      </c>
      <c r="E165" s="76">
        <v>39892</v>
      </c>
      <c r="F165" s="55">
        <v>2000</v>
      </c>
      <c r="G165" s="56">
        <f>(1000*9.3+199*9.56+801*9.6)/2000</f>
        <v>9.4460200000000007</v>
      </c>
      <c r="H165" s="229">
        <f>(14.05+2.97+5.8)/2000</f>
        <v>1.141E-2</v>
      </c>
      <c r="I165" s="30">
        <f t="shared" si="108"/>
        <v>18914.86</v>
      </c>
      <c r="J165" s="32">
        <f t="shared" si="109"/>
        <v>9.4574300000000004</v>
      </c>
      <c r="K165" s="131">
        <v>40175</v>
      </c>
      <c r="L165" s="56">
        <f>+(424*13.6+604*13.58+972*13.56)/2000</f>
        <v>13.57452</v>
      </c>
      <c r="M165" s="83">
        <f>13.85/4000</f>
        <v>3.4624999999999999E-3</v>
      </c>
      <c r="N165" s="34">
        <f t="shared" si="110"/>
        <v>27142.115000000002</v>
      </c>
      <c r="O165" s="32">
        <f t="shared" si="111"/>
        <v>13.5710575</v>
      </c>
      <c r="P165" s="594">
        <f t="shared" si="112"/>
        <v>8227.255000000001</v>
      </c>
      <c r="Q165" s="7">
        <f t="shared" si="113"/>
        <v>0.43496251095699362</v>
      </c>
      <c r="R165" s="610">
        <f>SUM(P165:P165:P168)</f>
        <v>18389.665000000001</v>
      </c>
      <c r="S165" s="233"/>
    </row>
    <row r="166" spans="2:19" hidden="1">
      <c r="B166" s="52" t="s">
        <v>9</v>
      </c>
      <c r="C166" s="233" t="s">
        <v>356</v>
      </c>
      <c r="D166" s="53" t="s">
        <v>11</v>
      </c>
      <c r="E166" s="76">
        <v>39856</v>
      </c>
      <c r="F166" s="55">
        <f>641</f>
        <v>641</v>
      </c>
      <c r="G166" s="56">
        <v>33.200000000000003</v>
      </c>
      <c r="H166" s="229">
        <v>0.02</v>
      </c>
      <c r="I166" s="30">
        <f t="shared" si="108"/>
        <v>21294.020000000004</v>
      </c>
      <c r="J166" s="32">
        <f t="shared" si="109"/>
        <v>33.220000000000006</v>
      </c>
      <c r="K166" s="131">
        <v>40175</v>
      </c>
      <c r="L166" s="56">
        <v>41.39</v>
      </c>
      <c r="M166" s="83">
        <f>20/1200</f>
        <v>1.6666666666666666E-2</v>
      </c>
      <c r="N166" s="34">
        <f t="shared" si="110"/>
        <v>26520.306666666667</v>
      </c>
      <c r="O166" s="32">
        <f t="shared" si="111"/>
        <v>41.373333333333335</v>
      </c>
      <c r="P166" s="594">
        <f t="shared" si="112"/>
        <v>5226.2866666666632</v>
      </c>
      <c r="Q166" s="7">
        <f t="shared" si="113"/>
        <v>0.24543447722255649</v>
      </c>
      <c r="R166" s="610"/>
      <c r="S166" s="233"/>
    </row>
    <row r="167" spans="2:19" hidden="1">
      <c r="B167" s="52" t="s">
        <v>9</v>
      </c>
      <c r="C167" s="233" t="s">
        <v>356</v>
      </c>
      <c r="D167" s="53" t="s">
        <v>11</v>
      </c>
      <c r="E167" s="76">
        <v>39856</v>
      </c>
      <c r="F167" s="55">
        <f>1000-641</f>
        <v>359</v>
      </c>
      <c r="G167" s="56">
        <v>33.200000000000003</v>
      </c>
      <c r="H167" s="229">
        <v>0.02</v>
      </c>
      <c r="I167" s="30">
        <f t="shared" ref="I167:I172" si="114">+(G167+H167)*F167</f>
        <v>11925.980000000001</v>
      </c>
      <c r="J167" s="32">
        <f t="shared" si="109"/>
        <v>33.220000000000006</v>
      </c>
      <c r="K167" s="131">
        <v>40175</v>
      </c>
      <c r="L167" s="56">
        <v>41.38</v>
      </c>
      <c r="M167" s="83">
        <f>20/1200</f>
        <v>1.6666666666666666E-2</v>
      </c>
      <c r="N167" s="34">
        <f t="shared" si="110"/>
        <v>14849.436666666668</v>
      </c>
      <c r="O167" s="32">
        <f t="shared" si="111"/>
        <v>41.363333333333337</v>
      </c>
      <c r="P167" s="594">
        <f t="shared" si="112"/>
        <v>2923.4566666666669</v>
      </c>
      <c r="Q167" s="7">
        <f t="shared" si="113"/>
        <v>0.24513345374272527</v>
      </c>
      <c r="R167" s="610"/>
      <c r="S167" s="233"/>
    </row>
    <row r="168" spans="2:19" hidden="1">
      <c r="B168" s="69" t="s">
        <v>9</v>
      </c>
      <c r="C168" s="232" t="s">
        <v>356</v>
      </c>
      <c r="D168" s="70" t="s">
        <v>11</v>
      </c>
      <c r="E168" s="180">
        <v>39860</v>
      </c>
      <c r="F168" s="72">
        <v>200</v>
      </c>
      <c r="G168" s="73">
        <f>(9398+4751.52+17130.48)/1000</f>
        <v>31.28</v>
      </c>
      <c r="H168" s="238">
        <v>0.02</v>
      </c>
      <c r="I168" s="31">
        <f t="shared" si="114"/>
        <v>6260</v>
      </c>
      <c r="J168" s="33">
        <f t="shared" si="109"/>
        <v>31.3</v>
      </c>
      <c r="K168" s="271">
        <v>40175</v>
      </c>
      <c r="L168" s="73">
        <v>41.38</v>
      </c>
      <c r="M168" s="84">
        <f>20/1200</f>
        <v>1.6666666666666666E-2</v>
      </c>
      <c r="N168" s="35">
        <f t="shared" si="110"/>
        <v>8272.6666666666679</v>
      </c>
      <c r="O168" s="33">
        <f t="shared" si="111"/>
        <v>41.363333333333337</v>
      </c>
      <c r="P168" s="595">
        <f t="shared" si="112"/>
        <v>2012.6666666666679</v>
      </c>
      <c r="Q168" s="15">
        <f t="shared" si="113"/>
        <v>0.32151224707135267</v>
      </c>
      <c r="R168" s="225"/>
      <c r="S168" s="233"/>
    </row>
    <row r="169" spans="2:19">
      <c r="B169" s="77" t="s">
        <v>9</v>
      </c>
      <c r="C169" s="78" t="s">
        <v>17</v>
      </c>
      <c r="D169" s="78" t="s">
        <v>11</v>
      </c>
      <c r="E169" s="79">
        <v>40133</v>
      </c>
      <c r="F169" s="80">
        <v>1000</v>
      </c>
      <c r="G169" s="81">
        <v>19.3</v>
      </c>
      <c r="H169" s="89">
        <f>15.84/1100</f>
        <v>1.44E-2</v>
      </c>
      <c r="I169" s="63">
        <f t="shared" si="114"/>
        <v>19314.399999999998</v>
      </c>
      <c r="J169" s="64">
        <f t="shared" si="109"/>
        <v>19.314399999999999</v>
      </c>
      <c r="K169" s="79">
        <v>40213</v>
      </c>
      <c r="L169" s="81">
        <v>17.100000000000001</v>
      </c>
      <c r="M169" s="89">
        <f>15.21/1000</f>
        <v>1.5210000000000001E-2</v>
      </c>
      <c r="N169" s="63">
        <f t="shared" si="110"/>
        <v>17084.79</v>
      </c>
      <c r="O169" s="64">
        <f t="shared" si="111"/>
        <v>17.084790000000002</v>
      </c>
      <c r="P169" s="59">
        <f t="shared" si="112"/>
        <v>-2229.6099999999969</v>
      </c>
      <c r="Q169" s="61">
        <f t="shared" si="113"/>
        <v>-0.11543770451062406</v>
      </c>
      <c r="R169" s="609">
        <f>SUM(R170:R177)</f>
        <v>-1818.4400000000032</v>
      </c>
      <c r="S169" s="608">
        <v>2010</v>
      </c>
    </row>
    <row r="170" spans="2:19">
      <c r="B170" s="52" t="s">
        <v>9</v>
      </c>
      <c r="C170" s="233" t="s">
        <v>17</v>
      </c>
      <c r="D170" s="53" t="s">
        <v>11</v>
      </c>
      <c r="E170" s="76">
        <v>40133</v>
      </c>
      <c r="F170" s="55">
        <v>100</v>
      </c>
      <c r="G170" s="83">
        <v>19.3</v>
      </c>
      <c r="H170" s="229">
        <f>15.84/1100</f>
        <v>1.44E-2</v>
      </c>
      <c r="I170" s="30">
        <f t="shared" si="114"/>
        <v>1931.4399999999998</v>
      </c>
      <c r="J170" s="32">
        <f t="shared" si="109"/>
        <v>19.314399999999999</v>
      </c>
      <c r="K170" s="131">
        <v>40213</v>
      </c>
      <c r="L170" s="56">
        <v>16.63</v>
      </c>
      <c r="M170" s="83">
        <f>17.97/2150</f>
        <v>8.3581395348837212E-3</v>
      </c>
      <c r="N170" s="34">
        <f t="shared" si="110"/>
        <v>1662.1641860465115</v>
      </c>
      <c r="O170" s="32">
        <f t="shared" si="111"/>
        <v>16.621641860465115</v>
      </c>
      <c r="P170" s="597">
        <f t="shared" si="112"/>
        <v>-269.2758139534883</v>
      </c>
      <c r="Q170" s="7">
        <f t="shared" si="113"/>
        <v>-0.13941712605801285</v>
      </c>
      <c r="R170" s="611"/>
      <c r="S170" s="233"/>
    </row>
    <row r="171" spans="2:19">
      <c r="B171" s="52" t="s">
        <v>9</v>
      </c>
      <c r="C171" s="233" t="s">
        <v>17</v>
      </c>
      <c r="D171" s="53" t="s">
        <v>11</v>
      </c>
      <c r="E171" s="76">
        <v>39845</v>
      </c>
      <c r="F171" s="55">
        <v>550</v>
      </c>
      <c r="G171" s="83">
        <v>17.309999999999999</v>
      </c>
      <c r="H171" s="229">
        <f>14.08/550</f>
        <v>2.5600000000000001E-2</v>
      </c>
      <c r="I171" s="30">
        <f t="shared" si="114"/>
        <v>9534.58</v>
      </c>
      <c r="J171" s="32">
        <f t="shared" si="109"/>
        <v>17.335599999999999</v>
      </c>
      <c r="K171" s="131">
        <v>40213</v>
      </c>
      <c r="L171" s="56">
        <v>16.63</v>
      </c>
      <c r="M171" s="83">
        <f>17.97/2150</f>
        <v>8.3581395348837212E-3</v>
      </c>
      <c r="N171" s="34">
        <f t="shared" si="110"/>
        <v>9141.9030232558125</v>
      </c>
      <c r="O171" s="32">
        <f t="shared" si="111"/>
        <v>16.621641860465115</v>
      </c>
      <c r="P171" s="597">
        <f t="shared" si="112"/>
        <v>-392.67697674418741</v>
      </c>
      <c r="Q171" s="7">
        <f t="shared" si="113"/>
        <v>-4.1184506999174315E-2</v>
      </c>
      <c r="R171" s="611"/>
      <c r="S171" s="233"/>
    </row>
    <row r="172" spans="2:19">
      <c r="B172" s="52" t="s">
        <v>9</v>
      </c>
      <c r="C172" s="233" t="s">
        <v>17</v>
      </c>
      <c r="D172" s="53" t="s">
        <v>11</v>
      </c>
      <c r="E172" s="76">
        <v>39848</v>
      </c>
      <c r="F172" s="55">
        <v>1500</v>
      </c>
      <c r="G172" s="83">
        <v>17.065000000000001</v>
      </c>
      <c r="H172" s="229">
        <f>16.49/1500</f>
        <v>1.0993333333333332E-2</v>
      </c>
      <c r="I172" s="30">
        <f t="shared" si="114"/>
        <v>25613.989999999998</v>
      </c>
      <c r="J172" s="32">
        <f t="shared" si="109"/>
        <v>17.075993333333333</v>
      </c>
      <c r="K172" s="131">
        <v>40213</v>
      </c>
      <c r="L172" s="56">
        <v>16.63</v>
      </c>
      <c r="M172" s="83">
        <f>17.97/2150</f>
        <v>8.3581395348837212E-3</v>
      </c>
      <c r="N172" s="34">
        <f t="shared" si="110"/>
        <v>24932.462790697671</v>
      </c>
      <c r="O172" s="32">
        <f t="shared" si="111"/>
        <v>16.621641860465115</v>
      </c>
      <c r="P172" s="597">
        <f t="shared" si="112"/>
        <v>-681.52720930232681</v>
      </c>
      <c r="Q172" s="7">
        <f t="shared" si="113"/>
        <v>-2.6607615966990183E-2</v>
      </c>
      <c r="R172" s="611"/>
      <c r="S172" s="233"/>
    </row>
    <row r="173" spans="2:19">
      <c r="B173" s="52" t="s">
        <v>9</v>
      </c>
      <c r="C173" s="233" t="s">
        <v>604</v>
      </c>
      <c r="D173" s="53" t="s">
        <v>11</v>
      </c>
      <c r="E173" s="76">
        <v>40213</v>
      </c>
      <c r="F173" s="55">
        <v>2000</v>
      </c>
      <c r="G173" s="83">
        <v>9.8870000000000005</v>
      </c>
      <c r="H173" s="229">
        <f>15.61/2000</f>
        <v>7.8049999999999994E-3</v>
      </c>
      <c r="I173" s="30">
        <f>+(G173+H173)*F173</f>
        <v>19789.61</v>
      </c>
      <c r="J173" s="32">
        <f>+I173/F173</f>
        <v>9.8948049999999999</v>
      </c>
      <c r="K173" s="131">
        <v>40214</v>
      </c>
      <c r="L173" s="56">
        <v>9.4303633333333323</v>
      </c>
      <c r="M173" s="83">
        <f>24.08/3000</f>
        <v>8.0266666666666663E-3</v>
      </c>
      <c r="N173" s="34">
        <f>+(L173-M173)*F173</f>
        <v>18844.673333333332</v>
      </c>
      <c r="O173" s="32">
        <f>+N173/F173</f>
        <v>9.4223366666666664</v>
      </c>
      <c r="P173" s="597">
        <f>+N173-I173</f>
        <v>-944.93666666666832</v>
      </c>
      <c r="Q173" s="7">
        <f>+P173/I173</f>
        <v>-4.774913030962552E-2</v>
      </c>
      <c r="R173" s="611"/>
      <c r="S173" s="233"/>
    </row>
    <row r="174" spans="2:19">
      <c r="B174" s="52" t="s">
        <v>9</v>
      </c>
      <c r="C174" s="233" t="s">
        <v>604</v>
      </c>
      <c r="D174" s="53" t="s">
        <v>11</v>
      </c>
      <c r="E174" s="76">
        <v>40213</v>
      </c>
      <c r="F174" s="55">
        <v>1000</v>
      </c>
      <c r="G174" s="83">
        <v>9.74</v>
      </c>
      <c r="H174" s="229">
        <f>14.11/1000</f>
        <v>1.4109999999999999E-2</v>
      </c>
      <c r="I174" s="30">
        <f>+(G174+H174)*F174</f>
        <v>9754.11</v>
      </c>
      <c r="J174" s="32">
        <f>+I174/F174</f>
        <v>9.7541100000000007</v>
      </c>
      <c r="K174" s="131">
        <v>40214</v>
      </c>
      <c r="L174" s="56">
        <v>9.4303633333333323</v>
      </c>
      <c r="M174" s="83">
        <f>24.08/3000</f>
        <v>8.0266666666666663E-3</v>
      </c>
      <c r="N174" s="34">
        <f>+(L174-M174)*F174</f>
        <v>9422.3366666666661</v>
      </c>
      <c r="O174" s="32">
        <f>+N174/F174</f>
        <v>9.4223366666666664</v>
      </c>
      <c r="P174" s="598">
        <f>+N174-I174</f>
        <v>-331.77333333333445</v>
      </c>
      <c r="Q174" s="599">
        <f>+P174/I174</f>
        <v>-3.4013696106906161E-2</v>
      </c>
      <c r="R174" s="612">
        <f>SUM(P169:P174)</f>
        <v>-4849.800000000002</v>
      </c>
      <c r="S174" s="233"/>
    </row>
    <row r="175" spans="2:19">
      <c r="B175" s="52" t="s">
        <v>9</v>
      </c>
      <c r="C175" s="233" t="s">
        <v>27</v>
      </c>
      <c r="D175" s="53" t="s">
        <v>11</v>
      </c>
      <c r="E175" s="76">
        <v>40305</v>
      </c>
      <c r="F175" s="55">
        <v>2000</v>
      </c>
      <c r="G175" s="83">
        <v>8.1199999999999992</v>
      </c>
      <c r="H175" s="229">
        <f>15.09/2000</f>
        <v>7.5449999999999996E-3</v>
      </c>
      <c r="I175" s="30">
        <f>+(G175+H175)*F175</f>
        <v>16255.089999999998</v>
      </c>
      <c r="J175" s="32">
        <f>+I175/F175</f>
        <v>8.1275449999999996</v>
      </c>
      <c r="K175" s="131">
        <v>40308</v>
      </c>
      <c r="L175" s="56">
        <v>9.6509999999999998</v>
      </c>
      <c r="M175" s="83">
        <f>15.55/2000</f>
        <v>7.7750000000000007E-3</v>
      </c>
      <c r="N175" s="34">
        <f>+(L175-M175)*F175</f>
        <v>19286.449999999997</v>
      </c>
      <c r="O175" s="32">
        <f>+N175/F175</f>
        <v>9.6432249999999993</v>
      </c>
      <c r="P175" s="598">
        <f>+N175-I175</f>
        <v>3031.3599999999988</v>
      </c>
      <c r="Q175" s="599">
        <f>+P175/I175</f>
        <v>0.18648681735997766</v>
      </c>
      <c r="R175" s="612">
        <f>+P175</f>
        <v>3031.3599999999988</v>
      </c>
      <c r="S175" s="233"/>
    </row>
    <row r="176" spans="2:19">
      <c r="B176" s="52"/>
      <c r="C176" s="233"/>
      <c r="D176" s="53"/>
      <c r="E176" s="76"/>
      <c r="F176" s="55"/>
      <c r="G176" s="56"/>
      <c r="H176" s="229"/>
      <c r="I176" s="30"/>
      <c r="J176" s="32"/>
      <c r="K176" s="577"/>
      <c r="L176" s="82"/>
      <c r="M176" s="578"/>
      <c r="N176" s="579"/>
      <c r="O176" s="580"/>
      <c r="P176" s="82"/>
      <c r="Q176" s="581"/>
      <c r="R176" s="179"/>
      <c r="S176" s="233"/>
    </row>
    <row r="177" spans="1:19">
      <c r="B177" s="69"/>
      <c r="C177" s="70"/>
      <c r="D177" s="70"/>
      <c r="E177" s="71"/>
      <c r="F177" s="72"/>
      <c r="G177" s="73"/>
      <c r="H177" s="230"/>
      <c r="I177" s="35"/>
      <c r="J177" s="33"/>
      <c r="K177" s="270"/>
      <c r="L177" s="73"/>
      <c r="M177" s="84"/>
      <c r="N177" s="35"/>
      <c r="O177" s="33"/>
      <c r="P177" s="31"/>
      <c r="Q177" s="15"/>
      <c r="S177" s="1"/>
    </row>
    <row r="178" spans="1:19">
      <c r="H178" s="65" t="s">
        <v>18</v>
      </c>
      <c r="I178" s="65">
        <f>SUM(I61:I177)</f>
        <v>909356.57551411679</v>
      </c>
      <c r="J178" s="66"/>
      <c r="K178" s="74"/>
      <c r="L178" s="75"/>
      <c r="M178" s="62"/>
      <c r="N178" s="65">
        <f>SUM(N61:N177)</f>
        <v>1103937.6809999996</v>
      </c>
      <c r="O178" s="66"/>
      <c r="P178" s="62">
        <f>+N178-I178</f>
        <v>194581.10548588284</v>
      </c>
      <c r="Q178" s="14">
        <f>+P178/I178</f>
        <v>0.21397668497187017</v>
      </c>
      <c r="S178" s="1"/>
    </row>
    <row r="179" spans="1:19">
      <c r="K179" s="1" t="s">
        <v>70</v>
      </c>
      <c r="O179" s="1">
        <v>2</v>
      </c>
      <c r="P179" s="1" t="s">
        <v>71</v>
      </c>
      <c r="S179" s="1"/>
    </row>
    <row r="180" spans="1:19">
      <c r="G180" s="12"/>
      <c r="K180" s="1" t="s">
        <v>74</v>
      </c>
      <c r="O180" s="1">
        <v>0.32</v>
      </c>
      <c r="P180" s="1" t="s">
        <v>72</v>
      </c>
      <c r="S180" s="1"/>
    </row>
    <row r="181" spans="1:19">
      <c r="O181" s="1">
        <v>0.24</v>
      </c>
      <c r="P181" s="1" t="s">
        <v>73</v>
      </c>
      <c r="S181" s="1"/>
    </row>
    <row r="182" spans="1:19">
      <c r="B182" s="68" t="s">
        <v>136</v>
      </c>
      <c r="C182" s="20"/>
      <c r="D182" s="20"/>
      <c r="E182" s="26" t="s">
        <v>1</v>
      </c>
      <c r="F182" s="28"/>
      <c r="G182" s="27"/>
      <c r="H182" s="28"/>
      <c r="I182" s="27"/>
      <c r="J182" s="29"/>
      <c r="K182" s="49" t="s">
        <v>65</v>
      </c>
      <c r="L182" s="50"/>
      <c r="S182" s="1"/>
    </row>
    <row r="183" spans="1:19">
      <c r="B183" s="36" t="s">
        <v>2</v>
      </c>
      <c r="C183" s="37" t="s">
        <v>3</v>
      </c>
      <c r="D183" s="37" t="s">
        <v>4</v>
      </c>
      <c r="E183" s="36" t="s">
        <v>5</v>
      </c>
      <c r="F183" s="67" t="s">
        <v>30</v>
      </c>
      <c r="G183" s="40" t="s">
        <v>6</v>
      </c>
      <c r="H183" s="40" t="s">
        <v>22</v>
      </c>
      <c r="I183" s="41" t="s">
        <v>23</v>
      </c>
      <c r="J183" s="42"/>
      <c r="K183" s="40" t="s">
        <v>26</v>
      </c>
      <c r="L183" s="43" t="s">
        <v>7</v>
      </c>
    </row>
    <row r="184" spans="1:19">
      <c r="B184" s="38"/>
      <c r="C184" s="39"/>
      <c r="D184" s="39"/>
      <c r="E184" s="38"/>
      <c r="F184" s="44"/>
      <c r="G184" s="45" t="s">
        <v>20</v>
      </c>
      <c r="H184" s="45" t="s">
        <v>20</v>
      </c>
      <c r="I184" s="46" t="s">
        <v>20</v>
      </c>
      <c r="J184" s="47" t="s">
        <v>24</v>
      </c>
      <c r="K184" s="45" t="s">
        <v>20</v>
      </c>
      <c r="L184" s="48" t="s">
        <v>8</v>
      </c>
    </row>
    <row r="185" spans="1:19">
      <c r="B185" s="85" t="s">
        <v>15</v>
      </c>
      <c r="C185" s="86" t="s">
        <v>10</v>
      </c>
      <c r="D185" s="86" t="s">
        <v>11</v>
      </c>
      <c r="E185" s="74" t="s">
        <v>12</v>
      </c>
      <c r="F185" s="87">
        <v>297</v>
      </c>
      <c r="G185" s="75">
        <v>19.05</v>
      </c>
      <c r="H185" s="75">
        <v>0</v>
      </c>
      <c r="I185" s="65">
        <f>+F185*G185+H185</f>
        <v>5657.85</v>
      </c>
      <c r="J185" s="66">
        <f>+I185/F185</f>
        <v>19.05</v>
      </c>
      <c r="K185" s="59">
        <f>VLOOKUP(C185,$B$40:$D$54,3,0)*F185</f>
        <v>5972.67</v>
      </c>
      <c r="L185" s="61">
        <f>+K185/I185-1</f>
        <v>5.5643044619422488E-2</v>
      </c>
    </row>
    <row r="186" spans="1:19">
      <c r="B186" s="52"/>
      <c r="C186" s="53"/>
      <c r="D186" s="53"/>
      <c r="E186" s="54"/>
      <c r="F186" s="55"/>
      <c r="G186" s="56"/>
      <c r="H186" s="56"/>
      <c r="I186" s="34"/>
      <c r="J186" s="32"/>
      <c r="K186" s="26" t="s">
        <v>32</v>
      </c>
      <c r="L186" s="28"/>
      <c r="M186" s="27"/>
      <c r="N186" s="28"/>
      <c r="O186" s="29"/>
      <c r="P186" s="49" t="s">
        <v>25</v>
      </c>
      <c r="Q186" s="50"/>
    </row>
    <row r="187" spans="1:19">
      <c r="B187" s="52"/>
      <c r="C187" s="53"/>
      <c r="D187" s="53"/>
      <c r="E187" s="54"/>
      <c r="F187" s="55"/>
      <c r="G187" s="56"/>
      <c r="H187" s="56"/>
      <c r="I187" s="34"/>
      <c r="J187" s="32"/>
      <c r="K187" s="36" t="s">
        <v>5</v>
      </c>
      <c r="L187" s="40" t="s">
        <v>6</v>
      </c>
      <c r="M187" s="40" t="s">
        <v>22</v>
      </c>
      <c r="N187" s="41" t="s">
        <v>34</v>
      </c>
      <c r="O187" s="42"/>
      <c r="P187" s="40" t="s">
        <v>35</v>
      </c>
      <c r="Q187" s="43" t="s">
        <v>7</v>
      </c>
    </row>
    <row r="188" spans="1:19">
      <c r="B188" s="52"/>
      <c r="C188" s="53"/>
      <c r="D188" s="53"/>
      <c r="E188" s="54"/>
      <c r="F188" s="55"/>
      <c r="G188" s="56"/>
      <c r="H188" s="56"/>
      <c r="I188" s="34"/>
      <c r="J188" s="32"/>
      <c r="K188" s="38"/>
      <c r="L188" s="45" t="s">
        <v>33</v>
      </c>
      <c r="M188" s="45" t="s">
        <v>20</v>
      </c>
      <c r="N188" s="46" t="s">
        <v>20</v>
      </c>
      <c r="O188" s="47" t="s">
        <v>24</v>
      </c>
      <c r="P188" s="45" t="s">
        <v>20</v>
      </c>
      <c r="Q188" s="48" t="s">
        <v>36</v>
      </c>
    </row>
    <row r="189" spans="1:19">
      <c r="B189" s="69" t="s">
        <v>15</v>
      </c>
      <c r="C189" s="70" t="s">
        <v>16</v>
      </c>
      <c r="D189" s="70" t="s">
        <v>11</v>
      </c>
      <c r="E189" s="71" t="s">
        <v>14</v>
      </c>
      <c r="F189" s="72">
        <v>220</v>
      </c>
      <c r="G189" s="73">
        <v>19</v>
      </c>
      <c r="H189" s="73">
        <v>0</v>
      </c>
      <c r="I189" s="35">
        <f>+F189*G189+H189</f>
        <v>4180</v>
      </c>
      <c r="J189" s="33">
        <f>+I189/F189</f>
        <v>19</v>
      </c>
      <c r="K189" s="180"/>
      <c r="L189" s="73"/>
      <c r="M189" s="84"/>
      <c r="N189" s="35">
        <f>+N73+N74</f>
        <v>2855.5699999999997</v>
      </c>
      <c r="O189" s="33"/>
      <c r="P189" s="31">
        <f>+N189-I189</f>
        <v>-1324.4300000000003</v>
      </c>
      <c r="Q189" s="15">
        <f>+P189/I189</f>
        <v>-0.31684928229665077</v>
      </c>
    </row>
    <row r="190" spans="1:19">
      <c r="A190" s="55"/>
      <c r="B190" s="55" t="s">
        <v>132</v>
      </c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</row>
    <row r="191" spans="1:19">
      <c r="A191" s="127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</row>
    <row r="192" spans="1:19">
      <c r="A192" s="2" t="s">
        <v>133</v>
      </c>
      <c r="B192" s="17"/>
      <c r="C192" s="17"/>
      <c r="D192" s="17"/>
      <c r="E192" s="17"/>
      <c r="F192" s="3"/>
      <c r="G192" s="3"/>
      <c r="H192" s="273" t="s">
        <v>134</v>
      </c>
      <c r="I192" s="30">
        <f>+N189</f>
        <v>2855.5699999999997</v>
      </c>
      <c r="J192" s="3"/>
      <c r="M192" s="3"/>
      <c r="N192" s="30">
        <f>+I192*(1+Q192)</f>
        <v>3386.0276719362619</v>
      </c>
      <c r="O192" s="3"/>
      <c r="P192" s="30">
        <f>+N192-I192</f>
        <v>530.45767193626216</v>
      </c>
      <c r="Q192" s="7">
        <f>SUMIF(A72:A177,A192,P72:P177)/SUMIF(A72:A177,A192,I72:I177)</f>
        <v>0.18576244740498815</v>
      </c>
    </row>
    <row r="193" spans="1:35">
      <c r="A193" s="2" t="s">
        <v>135</v>
      </c>
      <c r="B193" s="178"/>
      <c r="C193" s="17"/>
      <c r="D193" s="17"/>
      <c r="E193" s="17"/>
      <c r="F193" s="3"/>
      <c r="G193" s="3"/>
      <c r="H193" s="3"/>
      <c r="I193" s="30">
        <f>+N192</f>
        <v>3386.0276719362619</v>
      </c>
      <c r="J193" s="3"/>
      <c r="N193" s="181">
        <f>+I193*(1+Q193)</f>
        <v>3944.2551519269559</v>
      </c>
      <c r="O193" s="3"/>
      <c r="P193" s="59">
        <f>+N193-I193</f>
        <v>558.22747999069406</v>
      </c>
      <c r="Q193" s="7">
        <f>SUMIF(A73:A178,A193,P73:P178)/SUMIF(A73:A178,A193,I73:I178)</f>
        <v>0.16486205491388611</v>
      </c>
    </row>
    <row r="194" spans="1:35">
      <c r="A194" s="2"/>
      <c r="B194" s="178"/>
      <c r="C194" s="17"/>
      <c r="D194" s="179"/>
      <c r="E194" s="178"/>
      <c r="F194" s="3"/>
      <c r="G194" s="3"/>
      <c r="H194" s="3"/>
      <c r="I194" s="3" t="s">
        <v>182</v>
      </c>
      <c r="J194" s="3"/>
      <c r="K194" s="3"/>
      <c r="L194" s="3"/>
      <c r="M194" s="3"/>
      <c r="N194" s="3"/>
      <c r="O194" s="3"/>
      <c r="P194" s="3"/>
      <c r="Q194" s="7"/>
    </row>
    <row r="195" spans="1:35">
      <c r="A195" s="2" t="s">
        <v>138</v>
      </c>
      <c r="B195" s="178" t="s">
        <v>141</v>
      </c>
      <c r="C195" s="17"/>
      <c r="D195" s="17"/>
      <c r="E195" s="17"/>
      <c r="F195" s="3" t="s">
        <v>140</v>
      </c>
      <c r="H195" s="107">
        <f>+N193</f>
        <v>3944.2551519269559</v>
      </c>
      <c r="I195" s="1" t="s">
        <v>142</v>
      </c>
      <c r="J195" s="272">
        <f>+(SUMIF(A10:A30,A195,K10:K30)+SUMIF(A81:A177,A195,N81:N177))/(SUMIF(A10:A30,A195,I10:I30)+SUMIF(A81:A177,A195,I81:I177))-1</f>
        <v>0.51297210887799083</v>
      </c>
      <c r="K195" s="3" t="s">
        <v>139</v>
      </c>
      <c r="L195" s="181">
        <f>+H195*(1+J195)</f>
        <v>5967.5480351638071</v>
      </c>
      <c r="M195" s="3"/>
      <c r="N195" s="3"/>
      <c r="O195" s="3"/>
      <c r="P195" s="3"/>
      <c r="Q195" s="8"/>
    </row>
    <row r="196" spans="1:35">
      <c r="A196" s="2"/>
      <c r="B196" s="178"/>
      <c r="C196" s="17"/>
      <c r="D196" s="17"/>
      <c r="E196" s="17"/>
      <c r="F196" s="3"/>
      <c r="H196" s="107"/>
      <c r="J196" s="58"/>
      <c r="K196" s="3"/>
      <c r="L196" s="181"/>
      <c r="M196" s="3"/>
      <c r="N196" s="3"/>
      <c r="O196" s="3"/>
      <c r="P196" s="3"/>
      <c r="Q196" s="8"/>
    </row>
    <row r="197" spans="1:35">
      <c r="A197" s="120" t="s">
        <v>179</v>
      </c>
      <c r="B197" s="239"/>
      <c r="C197" s="177"/>
      <c r="D197" s="177"/>
      <c r="E197" s="177"/>
      <c r="F197" s="122"/>
      <c r="G197" s="122"/>
      <c r="H197" s="240" t="s">
        <v>177</v>
      </c>
      <c r="I197" s="177" t="s">
        <v>3</v>
      </c>
      <c r="J197" s="241"/>
      <c r="K197" s="122"/>
      <c r="L197" s="242"/>
      <c r="M197" s="147"/>
      <c r="N197" s="3"/>
      <c r="O197" s="3"/>
      <c r="P197" s="3"/>
      <c r="Q197" s="8"/>
    </row>
    <row r="198" spans="1:35">
      <c r="A198" s="2"/>
      <c r="B198" s="178" t="s">
        <v>176</v>
      </c>
      <c r="C198" s="17"/>
      <c r="D198" s="17"/>
      <c r="E198" s="17"/>
      <c r="F198" s="3">
        <v>15.57</v>
      </c>
      <c r="G198" s="3"/>
      <c r="H198" s="5">
        <f>+F185</f>
        <v>297</v>
      </c>
      <c r="I198" s="5">
        <f>+H198*F198</f>
        <v>4624.29</v>
      </c>
      <c r="J198" s="58"/>
      <c r="K198" s="3"/>
      <c r="L198" s="181"/>
      <c r="M198" s="8"/>
      <c r="N198" s="3"/>
      <c r="O198" s="3"/>
      <c r="P198" s="3"/>
      <c r="Q198" s="8"/>
    </row>
    <row r="199" spans="1:35">
      <c r="A199" s="2"/>
      <c r="B199" s="178" t="s">
        <v>178</v>
      </c>
      <c r="C199" s="17"/>
      <c r="D199" s="17"/>
      <c r="E199" s="17"/>
      <c r="F199" s="3"/>
      <c r="G199" s="3"/>
      <c r="H199" s="30"/>
      <c r="I199" s="5">
        <v>1376</v>
      </c>
      <c r="J199" s="58"/>
      <c r="K199" s="3" t="s">
        <v>181</v>
      </c>
      <c r="L199" s="243">
        <f>+(L195-I199)/L195</f>
        <v>0.76941953514376205</v>
      </c>
      <c r="M199" s="8"/>
      <c r="N199" s="3"/>
      <c r="P199" s="3"/>
      <c r="Q199" s="8"/>
    </row>
    <row r="200" spans="1:35">
      <c r="A200" s="9"/>
      <c r="B200" s="244"/>
      <c r="C200" s="18"/>
      <c r="D200" s="18"/>
      <c r="E200" s="18"/>
      <c r="F200" s="127"/>
      <c r="G200" s="127"/>
      <c r="H200" s="31" t="s">
        <v>18</v>
      </c>
      <c r="I200" s="10">
        <f>+I199+I198</f>
        <v>6000.29</v>
      </c>
      <c r="J200" s="209"/>
      <c r="K200" s="127"/>
      <c r="L200" s="245"/>
      <c r="M200" s="19"/>
      <c r="N200" s="3"/>
      <c r="P200" s="3"/>
      <c r="Q200" s="8"/>
    </row>
    <row r="201" spans="1:35">
      <c r="A201" s="2"/>
      <c r="B201" s="178"/>
      <c r="C201" s="17"/>
      <c r="D201" s="17"/>
      <c r="E201" s="17"/>
      <c r="F201" s="3"/>
      <c r="G201" s="3"/>
      <c r="H201" s="30"/>
      <c r="I201" s="5"/>
      <c r="J201" s="58"/>
      <c r="K201" s="3"/>
      <c r="L201" s="181"/>
      <c r="M201" s="3"/>
      <c r="N201" s="3"/>
      <c r="O201" s="3"/>
      <c r="P201" s="3"/>
      <c r="Q201" s="8"/>
    </row>
    <row r="202" spans="1:35">
      <c r="A202" s="2"/>
      <c r="B202" s="1"/>
      <c r="C202" s="17"/>
      <c r="D202" s="17"/>
      <c r="E202" s="17"/>
      <c r="F202" s="3"/>
      <c r="G202" s="280" t="s">
        <v>199</v>
      </c>
      <c r="H202" s="286"/>
      <c r="I202" s="287"/>
      <c r="J202" s="122"/>
      <c r="K202" s="280" t="s">
        <v>201</v>
      </c>
      <c r="L202" s="281"/>
      <c r="M202" s="282"/>
      <c r="N202" s="280" t="s">
        <v>202</v>
      </c>
      <c r="O202" s="281"/>
      <c r="P202" s="282"/>
      <c r="Q202" s="8"/>
      <c r="U202" s="1" t="s">
        <v>240</v>
      </c>
      <c r="Z202" s="280" t="s">
        <v>199</v>
      </c>
      <c r="AA202" s="286"/>
      <c r="AB202" s="287"/>
      <c r="AC202" s="122"/>
      <c r="AD202" s="280" t="s">
        <v>201</v>
      </c>
      <c r="AE202" s="281"/>
      <c r="AF202" s="282"/>
      <c r="AG202" s="280" t="s">
        <v>202</v>
      </c>
      <c r="AH202" s="281"/>
      <c r="AI202" s="282"/>
    </row>
    <row r="203" spans="1:35">
      <c r="A203" s="2"/>
      <c r="B203" s="178" t="s">
        <v>180</v>
      </c>
      <c r="C203" s="17"/>
      <c r="D203" s="17"/>
      <c r="E203" s="17"/>
      <c r="F203" s="3"/>
      <c r="G203" s="22" t="s">
        <v>203</v>
      </c>
      <c r="H203" s="283" t="s">
        <v>207</v>
      </c>
      <c r="I203" s="217" t="s">
        <v>18</v>
      </c>
      <c r="J203" s="291" t="s">
        <v>200</v>
      </c>
      <c r="K203" s="9" t="s">
        <v>199</v>
      </c>
      <c r="L203" s="127" t="s">
        <v>25</v>
      </c>
      <c r="M203" s="217" t="s">
        <v>191</v>
      </c>
      <c r="N203" s="9" t="s">
        <v>199</v>
      </c>
      <c r="O203" s="127" t="s">
        <v>25</v>
      </c>
      <c r="P203" s="217" t="s">
        <v>139</v>
      </c>
      <c r="Q203" s="8"/>
      <c r="Z203" s="22" t="s">
        <v>203</v>
      </c>
      <c r="AA203" s="283" t="s">
        <v>207</v>
      </c>
      <c r="AB203" s="217" t="s">
        <v>18</v>
      </c>
      <c r="AC203" s="291" t="s">
        <v>200</v>
      </c>
      <c r="AD203" s="9" t="s">
        <v>199</v>
      </c>
      <c r="AE203" s="127" t="s">
        <v>25</v>
      </c>
      <c r="AF203" s="217" t="s">
        <v>191</v>
      </c>
      <c r="AG203" s="9" t="s">
        <v>199</v>
      </c>
      <c r="AH203" s="127" t="s">
        <v>25</v>
      </c>
      <c r="AI203" s="217" t="s">
        <v>139</v>
      </c>
    </row>
    <row r="204" spans="1:35">
      <c r="A204" s="2"/>
      <c r="B204" s="298" t="s">
        <v>186</v>
      </c>
      <c r="C204" s="177"/>
      <c r="D204" s="177"/>
      <c r="E204" s="177"/>
      <c r="F204" s="147" t="s">
        <v>138</v>
      </c>
      <c r="G204" s="4">
        <v>3034.786965484027</v>
      </c>
      <c r="H204" s="3"/>
      <c r="I204" s="6">
        <v>3034.786965484027</v>
      </c>
      <c r="J204" s="288">
        <v>1</v>
      </c>
      <c r="K204" s="290">
        <v>3034.786965484027</v>
      </c>
      <c r="L204" s="243">
        <v>0.51297210887799083</v>
      </c>
      <c r="M204" s="6">
        <v>4591.5480351638071</v>
      </c>
      <c r="N204" s="4">
        <v>0</v>
      </c>
      <c r="O204" s="58" t="e">
        <v>#DIV/0!</v>
      </c>
      <c r="P204" s="269">
        <v>0</v>
      </c>
      <c r="Q204" s="277"/>
      <c r="V204" s="17"/>
      <c r="W204" s="17"/>
      <c r="X204" s="17"/>
      <c r="Y204" s="3"/>
      <c r="Z204" s="4">
        <v>3021.2096744101077</v>
      </c>
      <c r="AA204" s="3"/>
      <c r="AB204" s="6">
        <v>3021.2096744101077</v>
      </c>
      <c r="AC204" s="288">
        <v>0.78093193209045797</v>
      </c>
      <c r="AD204" s="290">
        <v>2359.3591082874686</v>
      </c>
      <c r="AE204" s="243">
        <v>0.37667465934858457</v>
      </c>
      <c r="AF204" s="6">
        <v>3248.0698966826312</v>
      </c>
      <c r="AG204" s="4">
        <v>661.85056612263907</v>
      </c>
      <c r="AH204" s="58">
        <v>0.8972561901114855</v>
      </c>
      <c r="AI204" s="269">
        <v>1255.700083504968</v>
      </c>
    </row>
    <row r="205" spans="1:35">
      <c r="A205" s="2"/>
      <c r="B205" s="299" t="s">
        <v>186</v>
      </c>
      <c r="C205" s="17"/>
      <c r="D205" s="17"/>
      <c r="E205" s="17"/>
      <c r="F205" s="8" t="s">
        <v>185</v>
      </c>
      <c r="G205" s="4">
        <v>6000.29</v>
      </c>
      <c r="H205" s="3"/>
      <c r="I205" s="6">
        <v>6000.29</v>
      </c>
      <c r="J205" s="288">
        <v>2.7328101261153957E-2</v>
      </c>
      <c r="K205" s="290">
        <v>163.97653271628948</v>
      </c>
      <c r="L205" s="243">
        <v>0.46017526775201478</v>
      </c>
      <c r="M205" s="6">
        <v>239.43447756405502</v>
      </c>
      <c r="N205" s="4">
        <v>5836.3134672837105</v>
      </c>
      <c r="O205" s="58">
        <v>0.50444491133208191</v>
      </c>
      <c r="P205" s="269">
        <v>9027.1057570167777</v>
      </c>
      <c r="Q205" s="277"/>
      <c r="U205" s="178" t="s">
        <v>180</v>
      </c>
      <c r="V205" s="17"/>
      <c r="W205" s="17"/>
      <c r="X205" s="17"/>
      <c r="Y205" s="3"/>
      <c r="Z205" s="4">
        <v>6000.29</v>
      </c>
      <c r="AA205" s="3"/>
      <c r="AB205" s="6">
        <v>6000.29</v>
      </c>
      <c r="AC205" s="288">
        <v>2.7328101261153957E-2</v>
      </c>
      <c r="AD205" s="290">
        <v>163.97653271628948</v>
      </c>
      <c r="AE205" s="243">
        <v>0.46017526775201478</v>
      </c>
      <c r="AF205" s="6">
        <v>239.43447756405502</v>
      </c>
      <c r="AG205" s="4">
        <v>5836.3134672837105</v>
      </c>
      <c r="AH205" s="58">
        <v>0.4454234536417121</v>
      </c>
      <c r="AI205" s="269">
        <v>8672.959894651829</v>
      </c>
    </row>
    <row r="206" spans="1:35">
      <c r="A206" s="2"/>
      <c r="B206" s="299" t="s">
        <v>186</v>
      </c>
      <c r="C206" s="17"/>
      <c r="D206" s="17"/>
      <c r="E206" s="17"/>
      <c r="F206" s="8" t="s">
        <v>198</v>
      </c>
      <c r="G206" s="4">
        <v>3000</v>
      </c>
      <c r="H206" s="3"/>
      <c r="I206" s="6">
        <v>3000</v>
      </c>
      <c r="J206" s="288">
        <v>0</v>
      </c>
      <c r="K206" s="290">
        <v>0</v>
      </c>
      <c r="L206" s="243">
        <v>0</v>
      </c>
      <c r="M206" s="6">
        <v>0</v>
      </c>
      <c r="N206" s="4">
        <v>3000</v>
      </c>
      <c r="O206" s="58">
        <v>0.30387418621339579</v>
      </c>
      <c r="P206" s="269">
        <v>3911.6225586401874</v>
      </c>
      <c r="Q206" s="277"/>
      <c r="U206" s="298" t="s">
        <v>186</v>
      </c>
      <c r="V206" s="177"/>
      <c r="W206" s="177"/>
      <c r="X206" s="177"/>
      <c r="Y206" s="147" t="s">
        <v>138</v>
      </c>
      <c r="Z206" s="4">
        <v>3000</v>
      </c>
      <c r="AA206" s="3"/>
      <c r="AB206" s="6">
        <v>3000</v>
      </c>
      <c r="AC206" s="288">
        <v>0</v>
      </c>
      <c r="AD206" s="290">
        <v>0</v>
      </c>
      <c r="AE206" s="243">
        <v>0</v>
      </c>
      <c r="AF206" s="6">
        <v>0</v>
      </c>
      <c r="AG206" s="4">
        <v>3000</v>
      </c>
      <c r="AH206" s="58">
        <v>0.26773471205139043</v>
      </c>
      <c r="AI206" s="269">
        <v>3803.2041361541715</v>
      </c>
    </row>
    <row r="207" spans="1:35">
      <c r="A207" s="2"/>
      <c r="B207" s="299"/>
      <c r="C207" s="17"/>
      <c r="D207" s="17"/>
      <c r="E207" s="17"/>
      <c r="F207" s="8"/>
      <c r="G207" s="4"/>
      <c r="H207" s="3"/>
      <c r="I207" s="6"/>
      <c r="J207" s="207"/>
      <c r="K207" s="2"/>
      <c r="L207" s="3"/>
      <c r="M207" s="8"/>
      <c r="N207" s="4"/>
      <c r="O207" s="58"/>
      <c r="P207" s="269"/>
      <c r="Q207" s="277"/>
      <c r="U207" s="299" t="s">
        <v>186</v>
      </c>
      <c r="V207" s="17"/>
      <c r="W207" s="17"/>
      <c r="X207" s="17"/>
      <c r="Y207" s="8" t="s">
        <v>185</v>
      </c>
      <c r="Z207" s="4"/>
      <c r="AA207" s="3"/>
      <c r="AB207" s="6"/>
      <c r="AC207" s="207"/>
      <c r="AD207" s="2"/>
      <c r="AE207" s="3"/>
      <c r="AF207" s="8"/>
      <c r="AG207" s="4"/>
      <c r="AH207" s="58"/>
      <c r="AI207" s="269"/>
    </row>
    <row r="208" spans="1:35">
      <c r="A208" s="2"/>
      <c r="B208" s="300" t="s">
        <v>206</v>
      </c>
      <c r="C208" s="18"/>
      <c r="D208" s="18"/>
      <c r="E208" s="18"/>
      <c r="F208" s="19"/>
      <c r="G208" s="267">
        <v>12035.076965484026</v>
      </c>
      <c r="H208" s="10">
        <v>0</v>
      </c>
      <c r="I208" s="11">
        <v>12035.076965484026</v>
      </c>
      <c r="J208" s="289"/>
      <c r="K208" s="267">
        <v>3198.7634982003165</v>
      </c>
      <c r="L208" s="285">
        <v>0.51026561214852606</v>
      </c>
      <c r="M208" s="11">
        <v>4830.9825127278618</v>
      </c>
      <c r="N208" s="292">
        <v>8836.3134672837114</v>
      </c>
      <c r="O208" s="293">
        <v>0.46426769076972763</v>
      </c>
      <c r="P208" s="148">
        <v>12938.728315656965</v>
      </c>
      <c r="Q208" s="277"/>
      <c r="U208" s="299" t="s">
        <v>186</v>
      </c>
      <c r="V208" s="17"/>
      <c r="W208" s="17"/>
      <c r="X208" s="17"/>
      <c r="Y208" s="8" t="s">
        <v>198</v>
      </c>
      <c r="Z208" s="267">
        <v>12021.499674410108</v>
      </c>
      <c r="AA208" s="10">
        <v>0</v>
      </c>
      <c r="AB208" s="11">
        <v>12021.499674410108</v>
      </c>
      <c r="AC208" s="289"/>
      <c r="AD208" s="267">
        <v>2523.3356410037582</v>
      </c>
      <c r="AE208" s="285">
        <v>0.3821008658441456</v>
      </c>
      <c r="AF208" s="11">
        <v>3487.5043742466864</v>
      </c>
      <c r="AG208" s="292">
        <v>9498.1640334063486</v>
      </c>
      <c r="AH208" s="293">
        <v>0.44573878341267981</v>
      </c>
      <c r="AI208" s="148">
        <v>13731.864114310967</v>
      </c>
    </row>
    <row r="209" spans="1:35">
      <c r="A209" s="2"/>
      <c r="B209" s="178"/>
      <c r="C209" s="17"/>
      <c r="D209" s="17"/>
      <c r="E209" s="17"/>
      <c r="I209" s="12"/>
      <c r="N209" s="12"/>
      <c r="O209" s="58"/>
      <c r="P209" s="212"/>
      <c r="Q209" s="277"/>
      <c r="U209" s="299"/>
      <c r="V209" s="17"/>
      <c r="W209" s="17"/>
      <c r="X209" s="17"/>
      <c r="Y209" s="8"/>
      <c r="AB209" s="12"/>
      <c r="AG209" s="12"/>
      <c r="AH209" s="58"/>
      <c r="AI209" s="212"/>
    </row>
    <row r="210" spans="1:35">
      <c r="A210" s="2"/>
      <c r="B210" s="294" t="s">
        <v>204</v>
      </c>
      <c r="C210" s="184"/>
      <c r="D210" s="184"/>
      <c r="E210" s="184"/>
      <c r="F210" s="119" t="s">
        <v>205</v>
      </c>
      <c r="G210" s="189">
        <v>3000</v>
      </c>
      <c r="H210" s="185">
        <v>3248.0698966826312</v>
      </c>
      <c r="I210" s="13">
        <v>6248.0698966826312</v>
      </c>
      <c r="J210" s="295"/>
      <c r="K210" s="108"/>
      <c r="L210" s="296"/>
      <c r="M210" s="109"/>
      <c r="N210" s="185">
        <v>6248.0698966826312</v>
      </c>
      <c r="O210" s="295">
        <v>0.84366692145946431</v>
      </c>
      <c r="P210" s="297">
        <v>11519.35979148042</v>
      </c>
      <c r="Q210" s="277"/>
      <c r="U210" s="300" t="s">
        <v>206</v>
      </c>
      <c r="V210" s="18"/>
      <c r="W210" s="18"/>
      <c r="X210" s="18"/>
      <c r="Y210" s="19"/>
      <c r="Z210" s="189">
        <v>3000</v>
      </c>
      <c r="AA210" s="185">
        <v>3248.0698966826312</v>
      </c>
      <c r="AB210" s="13">
        <v>6248.0698966826312</v>
      </c>
      <c r="AC210" s="295"/>
      <c r="AD210" s="108"/>
      <c r="AE210" s="296"/>
      <c r="AF210" s="109"/>
      <c r="AG210" s="185">
        <v>6248.0698966826312</v>
      </c>
      <c r="AH210" s="295">
        <v>0.53499863532780112</v>
      </c>
      <c r="AI210" s="297">
        <v>9590.7787648405538</v>
      </c>
    </row>
    <row r="211" spans="1:35">
      <c r="A211" s="2"/>
      <c r="B211" s="294" t="s">
        <v>241</v>
      </c>
      <c r="C211" s="184"/>
      <c r="D211" s="184"/>
      <c r="E211" s="184"/>
      <c r="F211" s="119"/>
      <c r="G211" s="189"/>
      <c r="H211" s="185">
        <v>1582.9126160452306</v>
      </c>
      <c r="I211" s="13"/>
      <c r="J211" s="295"/>
      <c r="K211" s="108"/>
      <c r="L211" s="296"/>
      <c r="M211" s="109"/>
      <c r="N211" s="185">
        <v>1582.9126160452306</v>
      </c>
      <c r="O211" s="316">
        <v>0</v>
      </c>
      <c r="P211" s="297">
        <v>1582.9126160452306</v>
      </c>
      <c r="Q211" s="277"/>
      <c r="U211" s="178"/>
      <c r="V211" s="17"/>
      <c r="W211" s="17"/>
      <c r="X211" s="17"/>
      <c r="Z211" s="5"/>
      <c r="AA211" s="5"/>
      <c r="AB211" s="5"/>
      <c r="AC211" s="58"/>
      <c r="AD211" s="3"/>
      <c r="AE211" s="181"/>
      <c r="AF211" s="3"/>
      <c r="AG211" s="5"/>
      <c r="AH211" s="58"/>
      <c r="AI211" s="212"/>
    </row>
    <row r="212" spans="1:35">
      <c r="A212" s="2"/>
      <c r="B212" s="178"/>
      <c r="C212" s="17"/>
      <c r="D212" s="17"/>
      <c r="E212" s="17"/>
      <c r="H212" s="279"/>
      <c r="I212" s="5"/>
      <c r="J212" s="58"/>
      <c r="L212" s="181"/>
      <c r="M212" s="3"/>
      <c r="N212" s="5"/>
      <c r="O212" s="3"/>
      <c r="P212" s="5"/>
      <c r="Q212" s="277"/>
      <c r="U212" s="294" t="s">
        <v>204</v>
      </c>
      <c r="V212" s="184"/>
      <c r="W212" s="184"/>
      <c r="X212" s="184"/>
      <c r="Y212" s="119" t="s">
        <v>205</v>
      </c>
      <c r="AA212" s="279"/>
      <c r="AB212" s="5"/>
      <c r="AC212" s="58"/>
      <c r="AE212" s="181"/>
      <c r="AF212" s="3"/>
      <c r="AG212" s="5"/>
      <c r="AH212" s="3"/>
      <c r="AI212" s="5"/>
    </row>
    <row r="213" spans="1:35">
      <c r="A213" s="2"/>
      <c r="B213" s="294" t="s">
        <v>187</v>
      </c>
      <c r="C213" s="184"/>
      <c r="D213" s="184"/>
      <c r="E213" s="184"/>
      <c r="F213" s="119"/>
      <c r="G213" s="189">
        <v>15035.076965484026</v>
      </c>
      <c r="H213" s="185">
        <v>4830.9825127278618</v>
      </c>
      <c r="I213" s="13">
        <v>19866.059478211886</v>
      </c>
      <c r="J213" s="295"/>
      <c r="K213" s="108"/>
      <c r="L213" s="296"/>
      <c r="M213" s="109"/>
      <c r="N213" s="185"/>
      <c r="O213" s="295"/>
      <c r="P213" s="297">
        <v>26041.000723182617</v>
      </c>
      <c r="Q213" s="277"/>
      <c r="U213" s="178"/>
      <c r="V213" s="17"/>
      <c r="W213" s="17"/>
      <c r="X213" s="17"/>
      <c r="Y213" s="3"/>
      <c r="Z213" s="189">
        <v>15021.499674410108</v>
      </c>
      <c r="AA213" s="185">
        <v>3248.0698966826312</v>
      </c>
      <c r="AB213" s="13">
        <v>18269.569571092739</v>
      </c>
      <c r="AC213" s="295"/>
      <c r="AD213" s="108"/>
      <c r="AE213" s="296"/>
      <c r="AF213" s="109"/>
      <c r="AG213" s="185"/>
      <c r="AH213" s="295"/>
      <c r="AI213" s="297">
        <v>23322.642879151521</v>
      </c>
    </row>
    <row r="214" spans="1:35">
      <c r="A214" s="2"/>
      <c r="B214" s="178"/>
      <c r="C214" s="17"/>
      <c r="D214" s="17"/>
      <c r="E214" s="17"/>
      <c r="F214" s="21"/>
      <c r="G214" s="12"/>
      <c r="H214" s="279"/>
      <c r="I214" s="5"/>
      <c r="J214" s="58"/>
      <c r="L214" s="12"/>
      <c r="M214" s="3"/>
      <c r="N214" s="181"/>
      <c r="O214" s="3"/>
      <c r="P214" s="30"/>
      <c r="Q214" s="8"/>
      <c r="U214" s="178"/>
      <c r="V214" s="17"/>
      <c r="W214" s="17"/>
      <c r="X214" s="17"/>
      <c r="Z214" s="12"/>
      <c r="AA214" s="279"/>
      <c r="AB214" s="5"/>
      <c r="AC214" s="58"/>
      <c r="AE214" s="12"/>
      <c r="AF214" s="3"/>
      <c r="AG214" s="181"/>
      <c r="AH214" s="3"/>
      <c r="AI214" s="30"/>
    </row>
    <row r="215" spans="1:35">
      <c r="A215" s="2"/>
      <c r="B215" s="178"/>
      <c r="C215" s="17"/>
      <c r="D215" s="284"/>
      <c r="E215" s="284"/>
      <c r="F215" s="146"/>
      <c r="G215" s="12"/>
      <c r="H215" s="302" t="s">
        <v>208</v>
      </c>
      <c r="I215" s="303"/>
      <c r="J215" s="304"/>
      <c r="K215" s="305"/>
      <c r="L215" s="306">
        <f>+P213/G213-1</f>
        <v>0.73201645611557908</v>
      </c>
      <c r="M215" s="3"/>
      <c r="N215" s="181"/>
      <c r="O215" s="181"/>
      <c r="P215" s="30"/>
      <c r="Q215" s="8"/>
      <c r="U215" s="294" t="s">
        <v>187</v>
      </c>
      <c r="V215" s="184"/>
      <c r="W215" s="184"/>
      <c r="X215" s="184"/>
      <c r="Y215" s="119"/>
      <c r="Z215" s="12"/>
      <c r="AA215" s="302" t="s">
        <v>208</v>
      </c>
      <c r="AB215" s="303"/>
      <c r="AC215" s="304"/>
      <c r="AD215" s="305"/>
      <c r="AE215" s="306">
        <v>0.55261747393190275</v>
      </c>
      <c r="AF215" s="3"/>
      <c r="AG215" s="181"/>
      <c r="AH215" s="181"/>
      <c r="AI215" s="30"/>
    </row>
    <row r="216" spans="1:35">
      <c r="A216" s="2"/>
      <c r="B216" s="178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81"/>
      <c r="P216" s="30"/>
      <c r="Q216" s="8"/>
      <c r="U216" s="178"/>
      <c r="V216" s="17"/>
      <c r="W216" s="17"/>
      <c r="X216" s="17"/>
      <c r="Y216" s="21"/>
      <c r="Z216" s="12"/>
      <c r="AA216" s="345"/>
      <c r="AB216" s="346"/>
      <c r="AC216" s="347"/>
      <c r="AD216" s="348"/>
      <c r="AE216" s="349"/>
      <c r="AF216" s="3"/>
      <c r="AG216" s="181"/>
      <c r="AH216" s="181"/>
      <c r="AI216" s="30"/>
    </row>
    <row r="217" spans="1:35">
      <c r="A217" s="2"/>
      <c r="B217" s="178" t="s">
        <v>276</v>
      </c>
      <c r="C217" s="17"/>
      <c r="D217" s="284"/>
      <c r="E217" s="284"/>
      <c r="G217" s="12"/>
      <c r="H217" s="279"/>
      <c r="I217" s="5"/>
      <c r="J217" s="58"/>
      <c r="L217" s="350">
        <v>26041.000723182617</v>
      </c>
      <c r="M217" s="3"/>
      <c r="N217" s="181" t="s">
        <v>277</v>
      </c>
      <c r="O217" s="3"/>
      <c r="P217" s="30"/>
      <c r="Q217" s="8"/>
      <c r="U217" s="178"/>
      <c r="V217" s="17"/>
      <c r="W217" s="284"/>
      <c r="X217" s="284"/>
      <c r="Y217" s="146"/>
    </row>
    <row r="218" spans="1:35">
      <c r="A218" s="2"/>
      <c r="B218" s="178"/>
      <c r="C218" s="17"/>
      <c r="D218" s="284"/>
      <c r="E218" s="284"/>
      <c r="G218" s="12"/>
      <c r="H218" s="279"/>
      <c r="I218" s="5"/>
      <c r="J218" s="58"/>
      <c r="L218" s="12"/>
      <c r="M218" s="3"/>
      <c r="N218" s="181"/>
      <c r="O218" s="3"/>
      <c r="P218" s="30"/>
      <c r="Q218" s="8"/>
      <c r="U218" s="178"/>
      <c r="V218" s="17"/>
      <c r="W218" s="284"/>
      <c r="X218" s="284"/>
      <c r="Y218" s="146"/>
    </row>
    <row r="219" spans="1:35">
      <c r="A219" s="9"/>
      <c r="B219" s="18"/>
      <c r="C219" s="18"/>
      <c r="D219" s="301"/>
      <c r="E219" s="301"/>
      <c r="F219" s="127"/>
      <c r="G219" s="127"/>
      <c r="H219" s="127"/>
      <c r="I219" s="127"/>
      <c r="J219" s="127"/>
      <c r="K219" s="127"/>
      <c r="L219" s="127"/>
      <c r="M219" s="127"/>
      <c r="N219" s="127"/>
      <c r="O219" s="127"/>
      <c r="P219" s="127"/>
      <c r="Q219" s="19"/>
    </row>
    <row r="220" spans="1:35">
      <c r="C220"/>
      <c r="D220"/>
      <c r="E220"/>
      <c r="F220"/>
      <c r="G220"/>
      <c r="H220"/>
      <c r="I220"/>
      <c r="J220"/>
      <c r="K220"/>
      <c r="L220"/>
      <c r="M220"/>
      <c r="N220" s="21"/>
      <c r="O220" s="21"/>
      <c r="P220" s="21"/>
      <c r="Q220" s="21"/>
    </row>
    <row r="221" spans="1:35">
      <c r="C221"/>
      <c r="D221"/>
      <c r="E221"/>
      <c r="F221"/>
      <c r="G221"/>
      <c r="H221"/>
      <c r="I221"/>
      <c r="J221"/>
      <c r="K221"/>
      <c r="L221"/>
      <c r="M221"/>
    </row>
    <row r="222" spans="1:35">
      <c r="C222"/>
      <c r="D222"/>
      <c r="E222"/>
      <c r="F222"/>
      <c r="G222"/>
      <c r="H222"/>
      <c r="I222"/>
      <c r="J222"/>
      <c r="K222"/>
      <c r="L222"/>
      <c r="M222"/>
    </row>
    <row r="223" spans="1:35">
      <c r="C223"/>
      <c r="D223"/>
      <c r="E223"/>
      <c r="F223"/>
      <c r="G223"/>
      <c r="H223"/>
      <c r="I223"/>
      <c r="J223"/>
      <c r="K223"/>
      <c r="L223"/>
      <c r="M223"/>
    </row>
    <row r="224" spans="1:35">
      <c r="C224"/>
      <c r="D224"/>
      <c r="E224"/>
      <c r="F224"/>
      <c r="G224"/>
      <c r="H224"/>
      <c r="I224"/>
      <c r="J224"/>
      <c r="K224"/>
      <c r="L224"/>
      <c r="M224"/>
    </row>
    <row r="225" spans="3:13">
      <c r="C225"/>
      <c r="D225"/>
      <c r="E225"/>
      <c r="F225"/>
      <c r="G225"/>
      <c r="H225"/>
      <c r="I225"/>
      <c r="J225"/>
      <c r="K225"/>
      <c r="L225"/>
      <c r="M225"/>
    </row>
    <row r="226" spans="3:13">
      <c r="C226"/>
      <c r="D226"/>
      <c r="E226"/>
      <c r="F226"/>
      <c r="G226"/>
      <c r="H226"/>
      <c r="I226"/>
      <c r="J226"/>
      <c r="K226"/>
      <c r="L226"/>
      <c r="M226"/>
    </row>
    <row r="227" spans="3:13">
      <c r="C227"/>
      <c r="D227"/>
      <c r="E227"/>
      <c r="F227"/>
      <c r="G227"/>
      <c r="H227"/>
      <c r="I227"/>
      <c r="J227"/>
      <c r="K227"/>
      <c r="L227"/>
      <c r="M227"/>
    </row>
    <row r="228" spans="3:13">
      <c r="C228"/>
      <c r="D228"/>
      <c r="E228"/>
      <c r="F228"/>
      <c r="G228"/>
      <c r="H228"/>
      <c r="I228"/>
      <c r="J228"/>
      <c r="K228"/>
      <c r="L228"/>
      <c r="M228"/>
    </row>
    <row r="229" spans="3:13">
      <c r="C229"/>
      <c r="D229"/>
      <c r="E229"/>
      <c r="F229"/>
      <c r="G229"/>
      <c r="H229"/>
      <c r="I229"/>
      <c r="J229"/>
      <c r="K229"/>
      <c r="L229"/>
      <c r="M229"/>
    </row>
    <row r="230" spans="3:13">
      <c r="C230"/>
      <c r="D230"/>
      <c r="E230"/>
      <c r="F230"/>
      <c r="G230"/>
      <c r="H230"/>
      <c r="I230"/>
      <c r="J230"/>
      <c r="K230"/>
      <c r="L230"/>
      <c r="M230"/>
    </row>
    <row r="231" spans="3:13">
      <c r="C231"/>
      <c r="D231"/>
      <c r="E231"/>
      <c r="F231"/>
      <c r="G231"/>
      <c r="H231"/>
      <c r="I231"/>
      <c r="J231"/>
      <c r="K231"/>
      <c r="L231"/>
      <c r="M231"/>
    </row>
    <row r="232" spans="3:13">
      <c r="C232"/>
      <c r="D232"/>
      <c r="E232"/>
      <c r="F232"/>
      <c r="G232"/>
      <c r="H232"/>
      <c r="I232"/>
      <c r="J232"/>
      <c r="K232"/>
      <c r="L232"/>
      <c r="M232"/>
    </row>
    <row r="233" spans="3:13">
      <c r="C233"/>
      <c r="D233"/>
      <c r="E233"/>
      <c r="F233"/>
      <c r="G233"/>
      <c r="H233"/>
      <c r="I233"/>
      <c r="J233"/>
      <c r="K233"/>
      <c r="L233"/>
      <c r="M233"/>
    </row>
    <row r="234" spans="3:13">
      <c r="C234"/>
      <c r="D234"/>
      <c r="E234"/>
      <c r="F234"/>
      <c r="G234"/>
      <c r="H234"/>
      <c r="I234"/>
      <c r="J234"/>
      <c r="K234"/>
      <c r="L234"/>
      <c r="M234"/>
    </row>
    <row r="235" spans="3:13">
      <c r="C235"/>
      <c r="D235"/>
      <c r="E235"/>
      <c r="F235"/>
      <c r="G235"/>
      <c r="H235"/>
      <c r="I235"/>
      <c r="J235"/>
      <c r="K235"/>
      <c r="L235"/>
      <c r="M235"/>
    </row>
    <row r="236" spans="3:13">
      <c r="C236"/>
      <c r="D236"/>
      <c r="E236"/>
      <c r="F236"/>
      <c r="G236"/>
      <c r="H236"/>
      <c r="I236"/>
      <c r="J236"/>
      <c r="K236"/>
      <c r="L236"/>
      <c r="M236"/>
    </row>
    <row r="237" spans="3:13">
      <c r="C237"/>
      <c r="D237"/>
      <c r="E237"/>
      <c r="F237"/>
      <c r="G237"/>
      <c r="H237"/>
      <c r="I237"/>
      <c r="J237"/>
      <c r="K237"/>
      <c r="L237"/>
      <c r="M237"/>
    </row>
    <row r="238" spans="3:13">
      <c r="C238"/>
      <c r="D238"/>
      <c r="E238"/>
      <c r="F238"/>
      <c r="G238"/>
      <c r="H238"/>
      <c r="I238"/>
      <c r="J238"/>
      <c r="K238"/>
      <c r="L238"/>
      <c r="M238"/>
    </row>
    <row r="239" spans="3:13">
      <c r="C239"/>
      <c r="D239"/>
      <c r="E239"/>
      <c r="F239"/>
      <c r="G239"/>
      <c r="H239"/>
      <c r="I239"/>
      <c r="J239"/>
      <c r="K239"/>
      <c r="L239"/>
      <c r="M239"/>
    </row>
    <row r="240" spans="3:13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54" spans="3:13">
      <c r="C254"/>
      <c r="D254"/>
      <c r="E254"/>
      <c r="F254"/>
      <c r="G254"/>
      <c r="H254"/>
      <c r="I254"/>
      <c r="J254"/>
      <c r="K254"/>
      <c r="L254"/>
      <c r="M254"/>
    </row>
    <row r="255" spans="3:13">
      <c r="C255"/>
      <c r="D255"/>
      <c r="E255"/>
      <c r="F255"/>
      <c r="G255"/>
      <c r="H255"/>
      <c r="I255"/>
      <c r="J255"/>
      <c r="K255"/>
      <c r="L255"/>
      <c r="M255"/>
    </row>
    <row r="256" spans="3:13">
      <c r="C256"/>
      <c r="D256"/>
      <c r="E256"/>
      <c r="F256"/>
      <c r="G256"/>
      <c r="H256"/>
      <c r="I256"/>
      <c r="J256"/>
      <c r="K256"/>
      <c r="L256"/>
      <c r="M256"/>
    </row>
    <row r="264" spans="4:16">
      <c r="P264" s="1" t="s">
        <v>413</v>
      </c>
    </row>
    <row r="268" spans="4:16">
      <c r="D268" s="415"/>
      <c r="E268" s="416"/>
      <c r="F268" s="417"/>
      <c r="G268" s="421"/>
      <c r="H268" s="418"/>
      <c r="I268" s="419"/>
      <c r="J268" s="420"/>
      <c r="K268" s="418"/>
    </row>
    <row r="269" spans="4:16">
      <c r="D269" s="415"/>
      <c r="E269" s="416"/>
      <c r="F269" s="417"/>
      <c r="G269" s="421"/>
      <c r="H269" s="418"/>
      <c r="I269" s="419"/>
      <c r="J269" s="420"/>
      <c r="K269" s="418"/>
    </row>
  </sheetData>
  <phoneticPr fontId="0" type="noConversion"/>
  <conditionalFormatting sqref="E93:E95 E97:E106 E108:E130 E132:E141 E143:E168 E170:E176 E8:E29">
    <cfRule type="expression" dxfId="2" priority="1" stopIfTrue="1">
      <formula>(E8+365)&lt;TODAY()</formula>
    </cfRule>
  </conditionalFormatting>
  <conditionalFormatting sqref="M117:M130 M132:M141 M143:M168 M170:M176 M10:M29">
    <cfRule type="cellIs" dxfId="1" priority="2" stopIfTrue="1" operator="lessThan">
      <formula>0</formula>
    </cfRule>
    <cfRule type="cellIs" dxfId="0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D29" sqref="D29"/>
    </sheetView>
  </sheetViews>
  <sheetFormatPr baseColWidth="10" defaultRowHeight="12.75"/>
  <cols>
    <col min="7" max="7" width="33.140625" customWidth="1"/>
  </cols>
  <sheetData>
    <row r="4" spans="2:4">
      <c r="B4" s="132" t="s">
        <v>631</v>
      </c>
      <c r="C4" s="133"/>
      <c r="D4" s="621">
        <v>2600</v>
      </c>
    </row>
    <row r="5" spans="2:4">
      <c r="B5" s="150" t="s">
        <v>630</v>
      </c>
      <c r="C5" s="402"/>
      <c r="D5" s="622">
        <v>150000</v>
      </c>
    </row>
    <row r="6" spans="2:4">
      <c r="B6" s="150" t="s">
        <v>629</v>
      </c>
      <c r="C6" s="402" t="s">
        <v>623</v>
      </c>
      <c r="D6" s="622">
        <v>15300</v>
      </c>
    </row>
    <row r="7" spans="2:4">
      <c r="B7" s="150" t="s">
        <v>629</v>
      </c>
      <c r="C7" s="402" t="s">
        <v>621</v>
      </c>
      <c r="D7" s="622">
        <v>15300</v>
      </c>
    </row>
    <row r="8" spans="2:4">
      <c r="B8" s="150" t="s">
        <v>629</v>
      </c>
      <c r="C8" s="402" t="s">
        <v>627</v>
      </c>
      <c r="D8" s="622">
        <v>15300</v>
      </c>
    </row>
    <row r="9" spans="2:4">
      <c r="B9" s="150" t="s">
        <v>629</v>
      </c>
      <c r="C9" s="402" t="s">
        <v>625</v>
      </c>
      <c r="D9" s="622">
        <v>15300</v>
      </c>
    </row>
    <row r="10" spans="2:4">
      <c r="B10" s="150" t="s">
        <v>629</v>
      </c>
      <c r="C10" s="402" t="s">
        <v>628</v>
      </c>
      <c r="D10" s="622">
        <v>15300</v>
      </c>
    </row>
    <row r="11" spans="2:4">
      <c r="B11" s="150" t="s">
        <v>626</v>
      </c>
      <c r="C11" s="402" t="s">
        <v>627</v>
      </c>
      <c r="D11" s="622">
        <v>1600</v>
      </c>
    </row>
    <row r="12" spans="2:4">
      <c r="B12" s="150" t="s">
        <v>626</v>
      </c>
      <c r="C12" s="402" t="s">
        <v>625</v>
      </c>
      <c r="D12" s="622">
        <v>1600</v>
      </c>
    </row>
    <row r="13" spans="2:4">
      <c r="B13" s="150" t="s">
        <v>624</v>
      </c>
      <c r="C13" s="402" t="s">
        <v>623</v>
      </c>
      <c r="D13" s="622">
        <v>24000</v>
      </c>
    </row>
    <row r="14" spans="2:4">
      <c r="B14" s="150" t="s">
        <v>624</v>
      </c>
      <c r="C14" s="402" t="s">
        <v>621</v>
      </c>
      <c r="D14" s="622">
        <v>24000</v>
      </c>
    </row>
    <row r="15" spans="2:4">
      <c r="B15" s="150" t="s">
        <v>622</v>
      </c>
      <c r="C15" s="402" t="s">
        <v>623</v>
      </c>
      <c r="D15" s="622">
        <v>6000</v>
      </c>
    </row>
    <row r="16" spans="2:4">
      <c r="B16" s="150" t="s">
        <v>622</v>
      </c>
      <c r="C16" s="402" t="s">
        <v>621</v>
      </c>
      <c r="D16" s="622">
        <v>6000</v>
      </c>
    </row>
    <row r="17" spans="2:8">
      <c r="B17" s="150" t="s">
        <v>605</v>
      </c>
      <c r="C17" s="402"/>
      <c r="D17" s="622">
        <v>1220</v>
      </c>
    </row>
    <row r="18" spans="2:8">
      <c r="B18" s="151" t="s">
        <v>620</v>
      </c>
      <c r="C18" s="404"/>
      <c r="D18" s="623">
        <v>95000</v>
      </c>
      <c r="E18" s="653">
        <v>5.7000000000000002E-2</v>
      </c>
    </row>
    <row r="19" spans="2:8">
      <c r="D19" s="128"/>
    </row>
    <row r="20" spans="2:8">
      <c r="G20" s="614" t="s">
        <v>636</v>
      </c>
    </row>
    <row r="21" spans="2:8">
      <c r="B21" s="132" t="s">
        <v>631</v>
      </c>
      <c r="C21" s="133"/>
      <c r="D21" s="617">
        <f>+D4</f>
        <v>2600</v>
      </c>
      <c r="G21" s="422" t="s">
        <v>634</v>
      </c>
      <c r="H21" s="617">
        <f>+D21</f>
        <v>2600</v>
      </c>
    </row>
    <row r="22" spans="2:8">
      <c r="B22" s="150" t="s">
        <v>630</v>
      </c>
      <c r="C22" s="402"/>
      <c r="D22" s="618">
        <f>+D5</f>
        <v>150000</v>
      </c>
      <c r="G22" s="99" t="s">
        <v>632</v>
      </c>
      <c r="H22" s="618">
        <f>+D23+D24+D25+D26</f>
        <v>139700</v>
      </c>
    </row>
    <row r="23" spans="2:8">
      <c r="B23" s="150" t="s">
        <v>629</v>
      </c>
      <c r="C23" s="402"/>
      <c r="D23" s="618">
        <f>SUM(D6:D10)</f>
        <v>76500</v>
      </c>
      <c r="G23" s="99" t="s">
        <v>327</v>
      </c>
      <c r="H23" s="618">
        <f>+D28</f>
        <v>95000</v>
      </c>
    </row>
    <row r="24" spans="2:8">
      <c r="B24" s="150" t="s">
        <v>626</v>
      </c>
      <c r="C24" s="402"/>
      <c r="D24" s="618">
        <f>SUM(D11:D12)</f>
        <v>3200</v>
      </c>
      <c r="G24" s="99" t="s">
        <v>633</v>
      </c>
      <c r="H24" s="618">
        <f>+D22</f>
        <v>150000</v>
      </c>
    </row>
    <row r="25" spans="2:8">
      <c r="B25" s="150" t="s">
        <v>624</v>
      </c>
      <c r="C25" s="402"/>
      <c r="D25" s="618">
        <f>SUM(D13:D14)</f>
        <v>48000</v>
      </c>
      <c r="G25" s="110" t="s">
        <v>635</v>
      </c>
      <c r="H25" s="618">
        <f>+D27</f>
        <v>1220</v>
      </c>
    </row>
    <row r="26" spans="2:8">
      <c r="B26" s="150" t="s">
        <v>622</v>
      </c>
      <c r="C26" s="402"/>
      <c r="D26" s="618">
        <f>SUM(D15:D16)</f>
        <v>12000</v>
      </c>
      <c r="G26" s="615" t="s">
        <v>18</v>
      </c>
      <c r="H26" s="616">
        <f>SUM(H21:H25)</f>
        <v>388520</v>
      </c>
    </row>
    <row r="27" spans="2:8">
      <c r="B27" s="150" t="s">
        <v>605</v>
      </c>
      <c r="C27" s="402"/>
      <c r="D27" s="618">
        <f>+D17</f>
        <v>1220</v>
      </c>
    </row>
    <row r="28" spans="2:8">
      <c r="B28" s="151" t="s">
        <v>620</v>
      </c>
      <c r="C28" s="404"/>
      <c r="D28" s="144">
        <f>+D18</f>
        <v>95000</v>
      </c>
    </row>
    <row r="29" spans="2:8">
      <c r="B29" s="619" t="s">
        <v>18</v>
      </c>
      <c r="C29" s="620"/>
      <c r="D29" s="616">
        <f>SUM(D21:D28)</f>
        <v>388520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"/>
  <dimension ref="B1:N138"/>
  <sheetViews>
    <sheetView showGridLines="0" topLeftCell="A121" workbookViewId="0">
      <selection activeCell="M90" sqref="M90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0" t="s">
        <v>210</v>
      </c>
    </row>
    <row r="2" spans="2:13">
      <c r="H2" s="214" t="s">
        <v>167</v>
      </c>
      <c r="I2" s="215"/>
      <c r="J2" s="216"/>
    </row>
    <row r="3" spans="2:13" s="21" customFormat="1">
      <c r="C3" s="103" t="s">
        <v>170</v>
      </c>
      <c r="D3" s="184" t="s">
        <v>5</v>
      </c>
      <c r="E3" s="184" t="s">
        <v>163</v>
      </c>
      <c r="F3" s="184" t="s">
        <v>164</v>
      </c>
      <c r="G3" s="16" t="s">
        <v>165</v>
      </c>
      <c r="H3" s="18" t="s">
        <v>168</v>
      </c>
      <c r="I3" s="18" t="s">
        <v>169</v>
      </c>
      <c r="J3" s="217" t="s">
        <v>36</v>
      </c>
    </row>
    <row r="4" spans="2:13">
      <c r="B4" s="104" t="s">
        <v>166</v>
      </c>
      <c r="C4" s="218" t="s">
        <v>171</v>
      </c>
      <c r="D4" s="220">
        <v>37977</v>
      </c>
      <c r="E4" s="60">
        <v>6000</v>
      </c>
      <c r="F4" s="226">
        <f>+G4/E4</f>
        <v>1.2363999999999999</v>
      </c>
      <c r="G4" s="97">
        <v>7418.4</v>
      </c>
      <c r="H4" s="106">
        <f>+G4/$E$16</f>
        <v>5982.5806451612898</v>
      </c>
      <c r="I4" s="60">
        <f>+H4-E4</f>
        <v>-17.419354838710206</v>
      </c>
      <c r="J4" s="61">
        <f>+I4/E4</f>
        <v>-2.9032258064517007E-3</v>
      </c>
    </row>
    <row r="5" spans="2:13">
      <c r="B5" s="24"/>
      <c r="C5" s="275"/>
      <c r="D5" s="221"/>
      <c r="E5" s="5"/>
      <c r="F5" s="276"/>
      <c r="G5" s="277"/>
      <c r="H5" s="106"/>
      <c r="I5" s="60"/>
      <c r="J5" s="61"/>
      <c r="M5" s="1">
        <f>L5*E5</f>
        <v>0</v>
      </c>
    </row>
    <row r="6" spans="2:13">
      <c r="B6" s="24"/>
      <c r="C6" s="2"/>
      <c r="D6" s="221"/>
      <c r="E6" s="5"/>
      <c r="F6" s="30"/>
      <c r="G6" s="6"/>
      <c r="H6" s="2"/>
      <c r="I6" s="3"/>
      <c r="J6" s="8"/>
    </row>
    <row r="7" spans="2:13">
      <c r="B7" s="24"/>
      <c r="C7" s="2"/>
      <c r="D7" s="221"/>
      <c r="E7" s="5"/>
      <c r="F7" s="30"/>
      <c r="G7" s="6"/>
      <c r="H7" s="2"/>
      <c r="I7" s="3"/>
      <c r="J7" s="8"/>
    </row>
    <row r="8" spans="2:13">
      <c r="B8" s="24"/>
      <c r="C8" s="2"/>
      <c r="D8" s="221"/>
      <c r="E8" s="5"/>
      <c r="F8" s="30"/>
      <c r="G8" s="6"/>
      <c r="H8" s="2"/>
      <c r="I8" s="3"/>
      <c r="J8" s="8"/>
    </row>
    <row r="9" spans="2:13">
      <c r="B9" s="24"/>
      <c r="C9" s="2"/>
      <c r="D9" s="221"/>
      <c r="E9" s="5"/>
      <c r="F9" s="30"/>
      <c r="G9" s="6"/>
      <c r="H9" s="2"/>
      <c r="I9" s="3"/>
      <c r="J9" s="8"/>
    </row>
    <row r="10" spans="2:13">
      <c r="B10" s="24"/>
      <c r="C10" s="2"/>
      <c r="D10" s="221"/>
      <c r="E10" s="5"/>
      <c r="F10" s="30"/>
      <c r="G10" s="6"/>
      <c r="H10" s="2"/>
      <c r="I10" s="3"/>
      <c r="J10" s="8"/>
    </row>
    <row r="11" spans="2:13">
      <c r="B11" s="225"/>
      <c r="C11" s="9"/>
      <c r="D11" s="224"/>
      <c r="E11" s="10"/>
      <c r="F11" s="31"/>
      <c r="G11" s="11"/>
      <c r="H11" s="9"/>
      <c r="I11" s="127"/>
      <c r="J11" s="19"/>
    </row>
    <row r="12" spans="2:13">
      <c r="D12" s="182" t="s">
        <v>18</v>
      </c>
      <c r="E12" s="185">
        <f>SUM(E4:E11)</f>
        <v>6000</v>
      </c>
      <c r="F12" s="119">
        <f>+G12/E12</f>
        <v>1.2363999999999999</v>
      </c>
      <c r="G12" s="13">
        <f>SUM(G4:G11)</f>
        <v>7418.4</v>
      </c>
      <c r="H12" s="185">
        <f>SUM(H4:H11)</f>
        <v>5982.5806451612898</v>
      </c>
      <c r="I12" s="185">
        <f>+H12-E12</f>
        <v>-17.419354838710206</v>
      </c>
      <c r="J12" s="14">
        <f>+I12/E12</f>
        <v>-2.9032258064517007E-3</v>
      </c>
    </row>
    <row r="13" spans="2:13">
      <c r="F13" s="107"/>
      <c r="G13" s="12"/>
    </row>
    <row r="14" spans="2:13">
      <c r="F14" s="107"/>
      <c r="G14" s="12"/>
    </row>
    <row r="15" spans="2:13">
      <c r="D15" s="103" t="s">
        <v>5</v>
      </c>
      <c r="E15" s="222" t="s">
        <v>164</v>
      </c>
      <c r="F15" s="107"/>
      <c r="G15" s="12"/>
    </row>
    <row r="16" spans="2:13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 hidden="1">
      <c r="B18" s="1" t="s">
        <v>284</v>
      </c>
      <c r="D18" s="213"/>
      <c r="E18" s="12"/>
      <c r="F18" s="107"/>
      <c r="G18" s="12"/>
      <c r="H18" s="280" t="s">
        <v>285</v>
      </c>
      <c r="I18" s="281"/>
      <c r="J18" s="281"/>
      <c r="K18" s="287"/>
    </row>
    <row r="19" spans="2:11" hidden="1">
      <c r="B19" s="21"/>
      <c r="C19" s="103" t="s">
        <v>170</v>
      </c>
      <c r="D19" s="184" t="s">
        <v>5</v>
      </c>
      <c r="E19" s="184" t="s">
        <v>163</v>
      </c>
      <c r="F19" s="184" t="s">
        <v>164</v>
      </c>
      <c r="G19" s="184" t="s">
        <v>165</v>
      </c>
      <c r="H19" s="22" t="s">
        <v>168</v>
      </c>
      <c r="I19" s="18" t="s">
        <v>169</v>
      </c>
      <c r="J19" s="18" t="s">
        <v>36</v>
      </c>
      <c r="K19" s="217" t="s">
        <v>5</v>
      </c>
    </row>
    <row r="20" spans="2:11" hidden="1">
      <c r="B20" s="104" t="s">
        <v>196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 hidden="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 hidden="1">
      <c r="B22" s="208"/>
      <c r="C22" s="9"/>
      <c r="D22" s="224"/>
      <c r="E22" s="10"/>
      <c r="F22" s="31"/>
      <c r="G22" s="11"/>
      <c r="H22" s="9"/>
      <c r="I22" s="127"/>
      <c r="J22" s="127"/>
      <c r="K22" s="19"/>
    </row>
    <row r="23" spans="2:11" hidden="1">
      <c r="B23" s="3"/>
      <c r="D23" s="213"/>
      <c r="E23" s="12"/>
      <c r="F23" s="107"/>
      <c r="G23" s="12"/>
    </row>
    <row r="24" spans="2:11">
      <c r="D24" s="213"/>
      <c r="E24" s="12"/>
      <c r="F24" s="107"/>
      <c r="G24" s="12"/>
    </row>
    <row r="25" spans="2:11">
      <c r="B25" s="310" t="s">
        <v>220</v>
      </c>
      <c r="D25" s="213"/>
      <c r="E25" s="12"/>
      <c r="F25" s="107"/>
      <c r="G25" s="12"/>
    </row>
    <row r="26" spans="2:11">
      <c r="B26" s="1" t="s">
        <v>199</v>
      </c>
      <c r="C26" s="311">
        <v>30000</v>
      </c>
      <c r="D26" s="1" t="s">
        <v>212</v>
      </c>
      <c r="F26" s="107"/>
      <c r="G26" s="12"/>
    </row>
    <row r="27" spans="2:11">
      <c r="B27" s="1" t="s">
        <v>222</v>
      </c>
      <c r="C27" s="234">
        <v>38562</v>
      </c>
      <c r="F27" s="107"/>
      <c r="G27" s="12"/>
    </row>
    <row r="28" spans="2:11">
      <c r="B28" s="1" t="s">
        <v>221</v>
      </c>
      <c r="C28" s="234">
        <v>40461</v>
      </c>
      <c r="F28" s="107"/>
      <c r="G28" s="12"/>
    </row>
    <row r="29" spans="2:11">
      <c r="B29" s="1" t="s">
        <v>216</v>
      </c>
      <c r="C29" s="1" t="s">
        <v>223</v>
      </c>
      <c r="F29" s="107"/>
      <c r="G29" s="12"/>
    </row>
    <row r="30" spans="2:11">
      <c r="C30" s="309" t="s">
        <v>224</v>
      </c>
      <c r="D30" s="234"/>
      <c r="F30" s="107"/>
      <c r="G30" s="12"/>
    </row>
    <row r="31" spans="2:11">
      <c r="C31" s="309"/>
      <c r="D31" s="234"/>
      <c r="F31" s="107"/>
      <c r="G31" s="12"/>
    </row>
    <row r="32" spans="2:11">
      <c r="B32" s="1" t="s">
        <v>225</v>
      </c>
      <c r="C32" s="1" t="s">
        <v>226</v>
      </c>
      <c r="F32" s="107"/>
      <c r="G32" s="12"/>
    </row>
    <row r="33" spans="2:8">
      <c r="C33" s="309"/>
      <c r="D33" s="234"/>
      <c r="F33" s="107"/>
      <c r="G33" s="12"/>
    </row>
    <row r="34" spans="2:8">
      <c r="B34" s="1" t="s">
        <v>219</v>
      </c>
      <c r="C34" s="107"/>
      <c r="F34" s="107"/>
      <c r="G34" s="12"/>
    </row>
    <row r="35" spans="2:8">
      <c r="D35" s="213"/>
      <c r="E35" s="12"/>
      <c r="F35" s="107"/>
      <c r="G35" s="107"/>
      <c r="H35" s="107"/>
    </row>
    <row r="36" spans="2:8" hidden="1">
      <c r="B36" s="310" t="s">
        <v>211</v>
      </c>
      <c r="F36" s="107"/>
      <c r="G36" s="107"/>
      <c r="H36" s="107"/>
    </row>
    <row r="37" spans="2:8" hidden="1">
      <c r="B37" s="1" t="s">
        <v>199</v>
      </c>
      <c r="C37" s="311">
        <v>50000</v>
      </c>
      <c r="D37" s="1" t="s">
        <v>212</v>
      </c>
      <c r="F37" s="107"/>
      <c r="G37" s="107"/>
      <c r="H37" s="107"/>
    </row>
    <row r="38" spans="2:8" hidden="1">
      <c r="B38" s="1" t="s">
        <v>213</v>
      </c>
      <c r="C38" s="234">
        <v>38702</v>
      </c>
      <c r="F38" s="107"/>
      <c r="G38" s="107"/>
      <c r="H38" s="107"/>
    </row>
    <row r="39" spans="2:8" hidden="1">
      <c r="B39" s="1" t="s">
        <v>214</v>
      </c>
      <c r="C39" s="1" t="s">
        <v>215</v>
      </c>
      <c r="F39" s="107"/>
      <c r="G39" s="107"/>
      <c r="H39" s="107"/>
    </row>
    <row r="40" spans="2:8" hidden="1">
      <c r="B40" s="1" t="s">
        <v>216</v>
      </c>
      <c r="C40" s="1" t="s">
        <v>217</v>
      </c>
      <c r="F40" s="107"/>
      <c r="G40" s="107"/>
      <c r="H40" s="107"/>
    </row>
    <row r="41" spans="2:8" hidden="1">
      <c r="C41" s="309">
        <v>0.16</v>
      </c>
      <c r="D41" s="234">
        <v>39432</v>
      </c>
      <c r="F41" s="107"/>
      <c r="G41" s="107"/>
      <c r="H41" s="107"/>
    </row>
    <row r="42" spans="2:8" hidden="1">
      <c r="C42" s="309">
        <v>0.24</v>
      </c>
      <c r="D42" s="234">
        <v>39798</v>
      </c>
      <c r="F42" s="107"/>
      <c r="G42" s="107"/>
      <c r="H42" s="107"/>
    </row>
    <row r="43" spans="2:8" hidden="1">
      <c r="C43" s="1" t="s">
        <v>218</v>
      </c>
      <c r="D43" s="1" t="s">
        <v>218</v>
      </c>
      <c r="F43" s="107"/>
      <c r="G43" s="107"/>
      <c r="H43" s="107"/>
    </row>
    <row r="44" spans="2:8" hidden="1">
      <c r="C44" s="309">
        <v>0.64</v>
      </c>
      <c r="D44" s="234">
        <v>41989</v>
      </c>
      <c r="F44" s="107"/>
      <c r="G44" s="107"/>
      <c r="H44" s="107"/>
    </row>
    <row r="45" spans="2:8" hidden="1">
      <c r="B45" s="1" t="s">
        <v>219</v>
      </c>
      <c r="C45" s="107">
        <v>3556.76</v>
      </c>
      <c r="F45" s="107">
        <v>4556</v>
      </c>
      <c r="G45" s="107">
        <v>4557</v>
      </c>
      <c r="H45" s="107">
        <v>4558</v>
      </c>
    </row>
    <row r="46" spans="2:8" hidden="1">
      <c r="C46" s="1">
        <v>3754</v>
      </c>
      <c r="D46" s="1">
        <f>+C46/C45</f>
        <v>1.0554549646307312</v>
      </c>
      <c r="F46" s="107"/>
      <c r="G46" s="107"/>
      <c r="H46" s="107"/>
    </row>
    <row r="47" spans="2:8" hidden="1">
      <c r="F47" s="107"/>
      <c r="G47" s="107"/>
      <c r="H47" s="107"/>
    </row>
    <row r="48" spans="2:8" ht="13.5" hidden="1" thickBot="1">
      <c r="F48" s="107"/>
      <c r="G48" s="107"/>
      <c r="H48" s="107"/>
    </row>
    <row r="49" spans="2:9" hidden="1">
      <c r="B49" s="378" t="s">
        <v>284</v>
      </c>
      <c r="C49" s="382"/>
      <c r="D49" s="379">
        <v>56560</v>
      </c>
      <c r="E49" s="1" t="s">
        <v>314</v>
      </c>
      <c r="F49" s="107"/>
      <c r="G49" s="107"/>
      <c r="H49" s="107"/>
    </row>
    <row r="50" spans="2:9" ht="13.5" hidden="1" thickBot="1">
      <c r="B50" s="380" t="s">
        <v>5</v>
      </c>
      <c r="C50" s="383"/>
      <c r="D50" s="381">
        <v>39437</v>
      </c>
      <c r="F50" s="107"/>
      <c r="G50" s="107"/>
      <c r="H50" s="107"/>
    </row>
    <row r="51" spans="2:9" hidden="1"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B55" s="310" t="s">
        <v>227</v>
      </c>
      <c r="F55" s="107"/>
      <c r="G55" s="107"/>
      <c r="H55" s="107"/>
    </row>
    <row r="56" spans="2:9" hidden="1">
      <c r="B56" s="1" t="s">
        <v>199</v>
      </c>
      <c r="C56" s="311">
        <v>50000</v>
      </c>
      <c r="D56" s="1" t="s">
        <v>212</v>
      </c>
      <c r="F56" s="107"/>
      <c r="G56" s="107"/>
      <c r="H56" s="107"/>
    </row>
    <row r="57" spans="2:9" hidden="1">
      <c r="B57" s="1" t="s">
        <v>213</v>
      </c>
      <c r="C57" s="234">
        <v>38783</v>
      </c>
      <c r="F57" s="107"/>
      <c r="G57" s="107"/>
      <c r="H57" s="107"/>
    </row>
    <row r="58" spans="2:9" hidden="1">
      <c r="B58" s="1" t="s">
        <v>214</v>
      </c>
      <c r="C58" s="1" t="s">
        <v>229</v>
      </c>
      <c r="F58" s="107"/>
      <c r="G58" s="107"/>
      <c r="H58" s="107"/>
    </row>
    <row r="59" spans="2:9" hidden="1">
      <c r="B59" s="1" t="s">
        <v>216</v>
      </c>
      <c r="C59" s="1" t="s">
        <v>230</v>
      </c>
      <c r="F59" s="107"/>
      <c r="G59" s="107"/>
      <c r="H59" s="107"/>
    </row>
    <row r="60" spans="2:9" hidden="1">
      <c r="C60" s="314">
        <v>39148</v>
      </c>
      <c r="D60" s="21" t="s">
        <v>231</v>
      </c>
      <c r="E60" s="315">
        <v>0.15</v>
      </c>
      <c r="F60" s="314" t="s">
        <v>232</v>
      </c>
      <c r="G60" s="314" t="s">
        <v>232</v>
      </c>
      <c r="H60" s="314" t="s">
        <v>232</v>
      </c>
      <c r="I60" s="21"/>
    </row>
    <row r="61" spans="2:9" hidden="1">
      <c r="C61" s="314">
        <v>39514</v>
      </c>
      <c r="D61" s="21" t="s">
        <v>231</v>
      </c>
      <c r="E61" s="315">
        <v>0.3</v>
      </c>
      <c r="F61" s="314" t="s">
        <v>232</v>
      </c>
      <c r="G61" s="314" t="s">
        <v>232</v>
      </c>
      <c r="H61" s="314" t="s">
        <v>232</v>
      </c>
      <c r="I61" s="21"/>
    </row>
    <row r="62" spans="2:9" hidden="1">
      <c r="C62" s="314" t="s">
        <v>218</v>
      </c>
      <c r="D62" s="314" t="s">
        <v>218</v>
      </c>
      <c r="E62" s="314" t="s">
        <v>218</v>
      </c>
      <c r="F62" s="314" t="s">
        <v>218</v>
      </c>
      <c r="G62" s="314" t="s">
        <v>218</v>
      </c>
      <c r="H62" s="314" t="s">
        <v>218</v>
      </c>
      <c r="I62" s="314" t="s">
        <v>218</v>
      </c>
    </row>
    <row r="63" spans="2:9" hidden="1">
      <c r="C63" s="314">
        <v>40609</v>
      </c>
      <c r="D63" s="21" t="s">
        <v>231</v>
      </c>
      <c r="E63" s="315">
        <v>0.75</v>
      </c>
      <c r="F63" s="314" t="s">
        <v>232</v>
      </c>
      <c r="G63" s="314" t="s">
        <v>232</v>
      </c>
      <c r="H63" s="314" t="s">
        <v>232</v>
      </c>
      <c r="I63" s="21"/>
    </row>
    <row r="64" spans="2:9" hidden="1">
      <c r="C64" s="314"/>
      <c r="D64" s="21"/>
      <c r="E64" s="315"/>
      <c r="F64" s="314"/>
      <c r="G64" s="314"/>
      <c r="H64" s="314"/>
      <c r="I64" s="21"/>
    </row>
    <row r="65" spans="2:8" hidden="1">
      <c r="C65" s="1" t="s">
        <v>233</v>
      </c>
      <c r="E65" s="309"/>
      <c r="F65" s="234"/>
      <c r="G65" s="234"/>
      <c r="H65" s="234"/>
    </row>
    <row r="66" spans="2:8" hidden="1">
      <c r="C66" s="1" t="s">
        <v>234</v>
      </c>
      <c r="E66" s="309"/>
      <c r="F66" s="234"/>
      <c r="G66" s="234"/>
      <c r="H66" s="234"/>
    </row>
    <row r="67" spans="2:8" hidden="1">
      <c r="C67" s="1" t="s">
        <v>235</v>
      </c>
      <c r="E67" s="309"/>
      <c r="F67" s="234"/>
      <c r="G67" s="234"/>
      <c r="H67" s="234"/>
    </row>
    <row r="68" spans="2:8" hidden="1">
      <c r="C68" s="1" t="s">
        <v>236</v>
      </c>
      <c r="E68" s="309"/>
      <c r="F68" s="234"/>
      <c r="G68" s="234"/>
      <c r="H68" s="234"/>
    </row>
    <row r="69" spans="2:8" hidden="1">
      <c r="F69" s="107"/>
      <c r="G69" s="107"/>
      <c r="H69" s="107"/>
    </row>
    <row r="70" spans="2:8" hidden="1">
      <c r="D70" s="21" t="s">
        <v>237</v>
      </c>
      <c r="E70" s="21" t="s">
        <v>238</v>
      </c>
      <c r="F70" s="107"/>
      <c r="G70" s="107"/>
      <c r="H70" s="107"/>
    </row>
    <row r="71" spans="2:8" hidden="1">
      <c r="C71" s="107" t="s">
        <v>28</v>
      </c>
      <c r="D71" s="1">
        <v>11.86</v>
      </c>
      <c r="E71" s="313">
        <f>+Acc!D44</f>
        <v>9.9499999999999993</v>
      </c>
      <c r="F71" s="107"/>
      <c r="G71" s="107"/>
      <c r="H71" s="107"/>
    </row>
    <row r="72" spans="2:8" hidden="1">
      <c r="C72" s="1" t="s">
        <v>228</v>
      </c>
      <c r="D72" s="1">
        <v>11.26</v>
      </c>
      <c r="E72" s="313">
        <f>+Acc!D47</f>
        <v>20.11</v>
      </c>
      <c r="F72" s="107"/>
      <c r="G72" s="107"/>
      <c r="H72" s="107"/>
    </row>
    <row r="73" spans="2:8" ht="13.5" hidden="1" thickBot="1">
      <c r="F73" s="107"/>
      <c r="G73" s="107"/>
      <c r="H73" s="107"/>
    </row>
    <row r="74" spans="2:8" hidden="1">
      <c r="B74" s="378" t="s">
        <v>284</v>
      </c>
      <c r="C74" s="382"/>
      <c r="D74" s="379">
        <f>+C56*1.15</f>
        <v>57499.999999999993</v>
      </c>
    </row>
    <row r="75" spans="2:8" ht="13.5" hidden="1" thickBot="1">
      <c r="B75" s="380" t="s">
        <v>5</v>
      </c>
      <c r="C75" s="383"/>
      <c r="D75" s="381">
        <v>39153</v>
      </c>
    </row>
    <row r="76" spans="2:8" hidden="1"/>
    <row r="77" spans="2:8" hidden="1"/>
    <row r="78" spans="2:8" hidden="1"/>
    <row r="80" spans="2:8">
      <c r="B80" s="310" t="s">
        <v>298</v>
      </c>
    </row>
    <row r="81" spans="2:9">
      <c r="C81" s="280" t="s">
        <v>199</v>
      </c>
      <c r="D81" s="281"/>
      <c r="E81" s="287"/>
      <c r="F81" s="280" t="s">
        <v>282</v>
      </c>
      <c r="G81" s="281"/>
      <c r="H81" s="281"/>
      <c r="I81" s="287"/>
    </row>
    <row r="82" spans="2:9">
      <c r="C82" s="9" t="s">
        <v>5</v>
      </c>
      <c r="D82" s="127" t="s">
        <v>300</v>
      </c>
      <c r="E82" s="19" t="s">
        <v>301</v>
      </c>
      <c r="F82" s="22" t="s">
        <v>5</v>
      </c>
      <c r="G82" s="18" t="s">
        <v>303</v>
      </c>
      <c r="H82" s="18" t="s">
        <v>304</v>
      </c>
      <c r="I82" s="217" t="s">
        <v>36</v>
      </c>
    </row>
    <row r="83" spans="2:9">
      <c r="B83" s="104"/>
      <c r="C83" s="389"/>
      <c r="D83" s="384"/>
      <c r="E83" s="388"/>
      <c r="F83" s="120"/>
      <c r="G83" s="391"/>
      <c r="H83" s="60"/>
      <c r="I83" s="248"/>
    </row>
    <row r="84" spans="2:9">
      <c r="B84" s="24"/>
      <c r="C84" s="386"/>
      <c r="D84" s="284"/>
      <c r="E84" s="387"/>
      <c r="F84" s="2"/>
      <c r="G84" s="392"/>
      <c r="H84" s="5"/>
      <c r="I84" s="249"/>
    </row>
    <row r="85" spans="2:9">
      <c r="B85" s="24"/>
      <c r="C85" s="386"/>
      <c r="D85" s="284"/>
      <c r="E85" s="387"/>
      <c r="F85" s="2"/>
      <c r="G85" s="392"/>
      <c r="H85" s="5"/>
      <c r="I85" s="249"/>
    </row>
    <row r="86" spans="2:9">
      <c r="B86" s="225"/>
      <c r="C86" s="390"/>
      <c r="D86" s="301"/>
      <c r="E86" s="217"/>
      <c r="F86" s="9"/>
      <c r="G86" s="393"/>
      <c r="H86" s="10"/>
      <c r="I86" s="385"/>
    </row>
    <row r="87" spans="2:9">
      <c r="B87" s="24"/>
      <c r="C87" s="386"/>
      <c r="D87" s="284"/>
      <c r="E87" s="387"/>
      <c r="F87" s="2"/>
      <c r="G87" s="392"/>
      <c r="H87" s="5"/>
      <c r="I87" s="249"/>
    </row>
    <row r="88" spans="2:9">
      <c r="B88" s="24" t="s">
        <v>302</v>
      </c>
      <c r="C88" s="386">
        <v>39171</v>
      </c>
      <c r="D88" s="284">
        <v>26200</v>
      </c>
      <c r="E88" s="387" t="s">
        <v>299</v>
      </c>
      <c r="F88" s="2"/>
      <c r="G88" s="392">
        <v>28469</v>
      </c>
      <c r="H88" s="5">
        <f>+G88-D88</f>
        <v>2269</v>
      </c>
      <c r="I88" s="249">
        <f>+IF(D88="",0,H88/D88)</f>
        <v>8.6603053435114499E-2</v>
      </c>
    </row>
    <row r="89" spans="2:9">
      <c r="B89" s="24"/>
      <c r="C89" s="386"/>
      <c r="D89" s="284"/>
      <c r="E89" s="387"/>
      <c r="F89" s="2"/>
      <c r="G89" s="392"/>
      <c r="H89" s="5"/>
      <c r="I89" s="249"/>
    </row>
    <row r="90" spans="2:9">
      <c r="B90" s="24"/>
      <c r="C90" s="386"/>
      <c r="D90" s="5"/>
      <c r="E90" s="387"/>
      <c r="F90" s="2"/>
      <c r="G90" s="55"/>
      <c r="H90" s="5"/>
      <c r="I90" s="249"/>
    </row>
    <row r="91" spans="2:9">
      <c r="B91" s="24"/>
      <c r="C91" s="386"/>
      <c r="D91" s="5"/>
      <c r="E91" s="387"/>
      <c r="F91" s="2"/>
      <c r="G91" s="55"/>
      <c r="H91" s="5"/>
      <c r="I91" s="249"/>
    </row>
    <row r="92" spans="2:9">
      <c r="B92" s="24"/>
      <c r="C92" s="386"/>
      <c r="D92" s="5"/>
      <c r="E92" s="387"/>
      <c r="F92" s="2"/>
      <c r="G92" s="55"/>
      <c r="H92" s="5"/>
      <c r="I92" s="249"/>
    </row>
    <row r="93" spans="2:9">
      <c r="B93" s="24"/>
      <c r="C93" s="386"/>
      <c r="D93" s="5"/>
      <c r="E93" s="387"/>
      <c r="F93" s="2"/>
      <c r="G93" s="55"/>
      <c r="H93" s="5"/>
      <c r="I93" s="249"/>
    </row>
    <row r="94" spans="2:9">
      <c r="B94" s="218" t="s">
        <v>306</v>
      </c>
      <c r="C94" s="120"/>
      <c r="D94" s="384">
        <f>SUMIF($E$83:$E$86,$E$94,D$83:D$86)</f>
        <v>0</v>
      </c>
      <c r="E94" s="388" t="s">
        <v>299</v>
      </c>
      <c r="F94" s="120"/>
      <c r="G94" s="384">
        <f>SUMIF($E$83:$E$86,$E$94,G$83:G$86)</f>
        <v>0</v>
      </c>
      <c r="H94" s="384">
        <f>SUMIF($E$83:$E$86,$E$94,H$83:H$86)</f>
        <v>0</v>
      </c>
      <c r="I94" s="248">
        <f>+IF(D94=0,0,H94/D94)</f>
        <v>0</v>
      </c>
    </row>
    <row r="95" spans="2:9">
      <c r="B95" s="22"/>
      <c r="C95" s="9"/>
      <c r="D95" s="301">
        <f>SUMIF($E$83:$E$86,$E$95,D$83:D$86)</f>
        <v>0</v>
      </c>
      <c r="E95" s="217" t="s">
        <v>9</v>
      </c>
      <c r="F95" s="9"/>
      <c r="G95" s="301">
        <f>SUMIF($E$83:$E$86,$E$95,G$83:G$86)</f>
        <v>0</v>
      </c>
      <c r="H95" s="301">
        <f>SUMIF($E$83:$E$86,$E$95,H$83:H$86)</f>
        <v>0</v>
      </c>
      <c r="I95" s="385">
        <f>+IF(D95=0,0,H95/D95)</f>
        <v>0</v>
      </c>
    </row>
    <row r="96" spans="2:9">
      <c r="B96" s="218" t="s">
        <v>305</v>
      </c>
      <c r="C96" s="120"/>
      <c r="D96" s="384">
        <f>SUMIF($E$87:$E$93,$E$96,D$87:D$93)</f>
        <v>26200</v>
      </c>
      <c r="E96" s="388" t="s">
        <v>299</v>
      </c>
      <c r="F96" s="120"/>
      <c r="G96" s="384">
        <f>SUMIF($E$87:$E$93,$E$96,G$87:G$93)</f>
        <v>28469</v>
      </c>
      <c r="H96" s="384">
        <f>SUMIF($E$83:$E$93,$E$94,H$83:H$93)</f>
        <v>2269</v>
      </c>
      <c r="I96" s="248">
        <f>+IF(D96="",0,H96/D96)</f>
        <v>8.6603053435114499E-2</v>
      </c>
    </row>
    <row r="97" spans="2:14">
      <c r="B97" s="22"/>
      <c r="C97" s="9"/>
      <c r="D97" s="301">
        <f>SUMIF($E$87:$E$93,$E$97,D$87:D$93)</f>
        <v>0</v>
      </c>
      <c r="E97" s="217" t="s">
        <v>9</v>
      </c>
      <c r="F97" s="9"/>
      <c r="G97" s="301">
        <f>SUMIF($E$87:$E$93,$E$97,G$87:G$93)</f>
        <v>0</v>
      </c>
      <c r="H97" s="301">
        <f>SUMIF($E$87:$E$93,$E$95,H$87:H$93)</f>
        <v>0</v>
      </c>
      <c r="I97" s="385">
        <f>+IF(D97=0,0,H97/D97)</f>
        <v>0</v>
      </c>
    </row>
    <row r="98" spans="2:14">
      <c r="B98" s="17"/>
      <c r="C98" s="3"/>
      <c r="D98" s="284"/>
      <c r="E98" s="17"/>
      <c r="F98" s="3"/>
      <c r="G98" s="12">
        <f>SUM(G96:G97)</f>
        <v>28469</v>
      </c>
      <c r="H98" s="284"/>
      <c r="I98" s="243"/>
      <c r="N98" s="604">
        <v>52516.57</v>
      </c>
    </row>
    <row r="99" spans="2:14">
      <c r="B99" s="17"/>
      <c r="C99" s="3"/>
      <c r="D99" s="284"/>
      <c r="E99" s="17"/>
      <c r="F99" s="3"/>
      <c r="G99" s="284"/>
      <c r="H99" s="284"/>
      <c r="I99" s="243"/>
    </row>
    <row r="100" spans="2:14">
      <c r="B100" s="17"/>
      <c r="C100" s="280" t="s">
        <v>199</v>
      </c>
      <c r="D100" s="281"/>
      <c r="E100" s="287"/>
      <c r="F100" s="280" t="s">
        <v>548</v>
      </c>
      <c r="G100" s="281"/>
      <c r="H100" s="281"/>
      <c r="I100" s="287"/>
    </row>
    <row r="101" spans="2:14">
      <c r="B101" s="17" t="s">
        <v>547</v>
      </c>
      <c r="C101" s="2" t="s">
        <v>5</v>
      </c>
      <c r="D101" s="3" t="s">
        <v>300</v>
      </c>
      <c r="E101" s="8" t="s">
        <v>301</v>
      </c>
      <c r="F101" s="275" t="s">
        <v>5</v>
      </c>
      <c r="G101" s="17" t="s">
        <v>303</v>
      </c>
      <c r="H101" s="17" t="s">
        <v>304</v>
      </c>
      <c r="I101" s="387" t="s">
        <v>36</v>
      </c>
    </row>
    <row r="102" spans="2:14">
      <c r="B102" s="104" t="s">
        <v>302</v>
      </c>
      <c r="C102" s="389">
        <v>39325</v>
      </c>
      <c r="D102" s="60">
        <v>36000</v>
      </c>
      <c r="E102" s="388" t="s">
        <v>9</v>
      </c>
      <c r="F102" s="564">
        <v>40144</v>
      </c>
      <c r="G102" s="80">
        <v>38337</v>
      </c>
      <c r="H102" s="60">
        <f>+G102-D102</f>
        <v>2337</v>
      </c>
      <c r="I102" s="248">
        <f>+IF(D102="",0,H102/D102)</f>
        <v>6.4916666666666664E-2</v>
      </c>
    </row>
    <row r="103" spans="2:14">
      <c r="B103" s="24" t="s">
        <v>302</v>
      </c>
      <c r="C103" s="386">
        <v>39445</v>
      </c>
      <c r="D103" s="5">
        <v>50000</v>
      </c>
      <c r="E103" s="387" t="s">
        <v>9</v>
      </c>
      <c r="F103" s="605">
        <v>40212</v>
      </c>
      <c r="G103" s="55">
        <v>52516.57</v>
      </c>
      <c r="H103" s="5">
        <f>+G103-D103</f>
        <v>2516.5699999999997</v>
      </c>
      <c r="I103" s="249">
        <f>+IF(D103="",0,H103/D103)</f>
        <v>5.0331399999999991E-2</v>
      </c>
    </row>
    <row r="104" spans="2:14">
      <c r="B104" s="24" t="s">
        <v>302</v>
      </c>
      <c r="C104" s="386">
        <v>39758</v>
      </c>
      <c r="D104" s="5">
        <v>70000</v>
      </c>
      <c r="E104" s="387" t="s">
        <v>9</v>
      </c>
      <c r="F104" s="605">
        <v>40245</v>
      </c>
      <c r="G104" s="55">
        <v>71260</v>
      </c>
      <c r="H104" s="5">
        <f>+G104-D104</f>
        <v>1260</v>
      </c>
      <c r="I104" s="249">
        <f>+IF(D104="",0,H104/D104)</f>
        <v>1.7999999999999999E-2</v>
      </c>
    </row>
    <row r="105" spans="2:14">
      <c r="B105" s="24" t="s">
        <v>302</v>
      </c>
      <c r="C105" s="386">
        <v>39232</v>
      </c>
      <c r="D105" s="5">
        <v>30000</v>
      </c>
      <c r="E105" s="387" t="s">
        <v>9</v>
      </c>
      <c r="F105" s="605">
        <v>40304</v>
      </c>
      <c r="G105" s="55">
        <v>32274</v>
      </c>
      <c r="H105" s="5">
        <f>+G105-D105</f>
        <v>2274</v>
      </c>
      <c r="I105" s="249">
        <f>+IF(D105="",0,H105/D105)</f>
        <v>7.5800000000000006E-2</v>
      </c>
    </row>
    <row r="106" spans="2:14">
      <c r="B106" s="24" t="s">
        <v>302</v>
      </c>
      <c r="C106" s="386">
        <v>39202</v>
      </c>
      <c r="D106" s="284">
        <v>30094</v>
      </c>
      <c r="E106" s="387" t="s">
        <v>9</v>
      </c>
      <c r="F106" s="605">
        <v>40309</v>
      </c>
      <c r="G106" s="392">
        <v>32532</v>
      </c>
      <c r="H106" s="5">
        <f>+G106-D106</f>
        <v>2438</v>
      </c>
      <c r="I106" s="249">
        <f>+IF(D106="",0,H106/D106)</f>
        <v>8.1012826477038613E-2</v>
      </c>
    </row>
    <row r="107" spans="2:14">
      <c r="B107" s="225"/>
      <c r="C107" s="390"/>
      <c r="D107" s="10"/>
      <c r="E107" s="217"/>
      <c r="F107" s="565"/>
      <c r="G107" s="72"/>
      <c r="H107" s="10"/>
      <c r="I107" s="385"/>
    </row>
    <row r="109" spans="2:14">
      <c r="B109" s="1" t="s">
        <v>391</v>
      </c>
      <c r="G109" s="12"/>
    </row>
    <row r="112" spans="2:14" s="439" customFormat="1" ht="25.5">
      <c r="B112" s="440" t="s">
        <v>354</v>
      </c>
      <c r="C112" s="441" t="s">
        <v>393</v>
      </c>
      <c r="D112" s="441"/>
      <c r="E112" s="441" t="s">
        <v>399</v>
      </c>
      <c r="F112" s="441" t="s">
        <v>403</v>
      </c>
      <c r="G112" s="441" t="s">
        <v>394</v>
      </c>
      <c r="H112" s="441" t="s">
        <v>266</v>
      </c>
      <c r="I112" s="441" t="s">
        <v>397</v>
      </c>
      <c r="J112" s="441" t="s">
        <v>395</v>
      </c>
      <c r="K112" s="442" t="s">
        <v>396</v>
      </c>
    </row>
    <row r="113" spans="2:11">
      <c r="B113" s="120" t="s">
        <v>392</v>
      </c>
      <c r="C113" s="122" t="s">
        <v>398</v>
      </c>
      <c r="D113" s="122"/>
      <c r="E113" s="122" t="s">
        <v>402</v>
      </c>
      <c r="F113" s="122">
        <v>20</v>
      </c>
      <c r="G113" s="60">
        <v>10000</v>
      </c>
      <c r="H113" s="60">
        <v>500</v>
      </c>
      <c r="I113" s="60">
        <f>+H113+G113</f>
        <v>10500</v>
      </c>
      <c r="J113" s="352">
        <v>39812</v>
      </c>
      <c r="K113" s="147"/>
    </row>
    <row r="114" spans="2:11">
      <c r="B114" s="2" t="s">
        <v>392</v>
      </c>
      <c r="C114" s="3" t="s">
        <v>400</v>
      </c>
      <c r="D114" s="3"/>
      <c r="E114" s="3" t="s">
        <v>402</v>
      </c>
      <c r="F114" s="3">
        <v>20</v>
      </c>
      <c r="G114" s="5">
        <v>10000</v>
      </c>
      <c r="H114" s="5">
        <v>500</v>
      </c>
      <c r="I114" s="5">
        <f>+H114+G114</f>
        <v>10500</v>
      </c>
      <c r="J114" s="355">
        <v>39813</v>
      </c>
      <c r="K114" s="8"/>
    </row>
    <row r="115" spans="2:11">
      <c r="B115" s="9" t="s">
        <v>392</v>
      </c>
      <c r="C115" s="127" t="s">
        <v>401</v>
      </c>
      <c r="D115" s="127"/>
      <c r="E115" s="127" t="s">
        <v>402</v>
      </c>
      <c r="F115" s="127">
        <v>40</v>
      </c>
      <c r="G115" s="10">
        <v>10000</v>
      </c>
      <c r="H115" s="10">
        <v>500</v>
      </c>
      <c r="I115" s="10">
        <f>+H115+G115</f>
        <v>10500</v>
      </c>
      <c r="J115" s="356">
        <v>39812</v>
      </c>
      <c r="K115" s="19"/>
    </row>
    <row r="116" spans="2:11">
      <c r="F116" s="108" t="s">
        <v>18</v>
      </c>
      <c r="G116" s="198">
        <f>SUM(G113:G115)</f>
        <v>30000</v>
      </c>
      <c r="H116" s="185">
        <f>SUM(H113:H115)</f>
        <v>1500</v>
      </c>
      <c r="I116" s="297">
        <f>SUM(I113:I115)</f>
        <v>31500</v>
      </c>
    </row>
    <row r="119" spans="2:11">
      <c r="B119" s="1" t="s">
        <v>457</v>
      </c>
    </row>
    <row r="121" spans="2:11">
      <c r="B121" s="1" t="s">
        <v>458</v>
      </c>
    </row>
    <row r="122" spans="2:11">
      <c r="B122" s="1" t="s">
        <v>459</v>
      </c>
    </row>
    <row r="123" spans="2:11">
      <c r="B123" s="1" t="s">
        <v>460</v>
      </c>
    </row>
    <row r="124" spans="2:11">
      <c r="B124" s="1" t="s">
        <v>394</v>
      </c>
      <c r="C124" s="212">
        <v>50000</v>
      </c>
    </row>
    <row r="127" spans="2:11">
      <c r="B127" s="1" t="s">
        <v>540</v>
      </c>
      <c r="G127" s="12"/>
    </row>
    <row r="130" spans="2:11" ht="25.5">
      <c r="B130" s="440" t="s">
        <v>354</v>
      </c>
      <c r="C130" s="441" t="s">
        <v>393</v>
      </c>
      <c r="D130" s="441"/>
      <c r="E130" s="441" t="s">
        <v>399</v>
      </c>
      <c r="F130" s="441" t="s">
        <v>403</v>
      </c>
      <c r="G130" s="441" t="s">
        <v>394</v>
      </c>
      <c r="H130" s="441" t="s">
        <v>266</v>
      </c>
      <c r="I130" s="441" t="s">
        <v>397</v>
      </c>
      <c r="J130" s="441" t="s">
        <v>395</v>
      </c>
      <c r="K130" s="442" t="s">
        <v>396</v>
      </c>
    </row>
    <row r="131" spans="2:11">
      <c r="B131" s="120" t="s">
        <v>392</v>
      </c>
      <c r="C131" s="122" t="s">
        <v>542</v>
      </c>
      <c r="D131" s="122"/>
      <c r="E131" s="122" t="s">
        <v>402</v>
      </c>
      <c r="F131" s="122">
        <f>+G131/500</f>
        <v>28</v>
      </c>
      <c r="G131" s="60">
        <v>14000</v>
      </c>
      <c r="H131" s="60">
        <v>350</v>
      </c>
      <c r="I131" s="60">
        <v>14350</v>
      </c>
      <c r="J131" s="352">
        <v>40178</v>
      </c>
      <c r="K131" s="147"/>
    </row>
    <row r="132" spans="2:11">
      <c r="B132" s="2" t="s">
        <v>543</v>
      </c>
      <c r="C132" s="3" t="s">
        <v>544</v>
      </c>
      <c r="D132" s="3"/>
      <c r="E132" s="3" t="s">
        <v>402</v>
      </c>
      <c r="F132" s="3">
        <v>6</v>
      </c>
      <c r="G132" s="5">
        <v>6000</v>
      </c>
      <c r="H132" s="5">
        <v>0</v>
      </c>
      <c r="I132" s="5">
        <f>+H132+G132</f>
        <v>6000</v>
      </c>
      <c r="J132" s="355">
        <v>40178</v>
      </c>
      <c r="K132" s="8"/>
    </row>
    <row r="133" spans="2:11">
      <c r="B133" s="9" t="s">
        <v>392</v>
      </c>
      <c r="C133" s="127" t="s">
        <v>541</v>
      </c>
      <c r="D133" s="127"/>
      <c r="E133" s="127" t="s">
        <v>402</v>
      </c>
      <c r="F133" s="127">
        <v>140</v>
      </c>
      <c r="G133" s="10">
        <v>14000</v>
      </c>
      <c r="H133" s="10">
        <v>350</v>
      </c>
      <c r="I133" s="10">
        <f>+H133+G133</f>
        <v>14350</v>
      </c>
      <c r="J133" s="356">
        <v>40178</v>
      </c>
      <c r="K133" s="19"/>
    </row>
    <row r="134" spans="2:11">
      <c r="F134" s="108" t="s">
        <v>18</v>
      </c>
      <c r="G134" s="198">
        <f>SUM(G131:G133)</f>
        <v>34000</v>
      </c>
      <c r="H134" s="185">
        <f>SUM(H131:H133)</f>
        <v>700</v>
      </c>
      <c r="I134" s="297">
        <f>SUM(I131:I133)</f>
        <v>34700</v>
      </c>
    </row>
    <row r="138" spans="2:11">
      <c r="B138" s="1" t="s">
        <v>545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49"/>
  <sheetViews>
    <sheetView showGridLines="0" topLeftCell="A14" zoomScaleNormal="100" zoomScaleSheetLayoutView="100" workbookViewId="0">
      <selection activeCell="E40" sqref="E40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279</v>
      </c>
      <c r="C1" s="91"/>
      <c r="D1" s="91"/>
      <c r="E1" s="91"/>
      <c r="F1" s="91"/>
      <c r="G1" s="91"/>
      <c r="H1" s="91"/>
    </row>
    <row r="2" spans="2:11">
      <c r="B2" s="175">
        <f>+Patr.!B2</f>
        <v>40369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276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281</v>
      </c>
      <c r="E8" s="351" t="s">
        <v>5</v>
      </c>
      <c r="F8" s="351" t="s">
        <v>282</v>
      </c>
    </row>
    <row r="9" spans="2:11">
      <c r="B9" s="353" t="s">
        <v>280</v>
      </c>
      <c r="C9" s="352">
        <v>39022</v>
      </c>
      <c r="D9" s="60">
        <v>26000</v>
      </c>
      <c r="E9" s="357">
        <f>+B2</f>
        <v>40369</v>
      </c>
      <c r="F9" s="60">
        <f>+Otros!G96</f>
        <v>28469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375</v>
      </c>
      <c r="C16" s="185"/>
      <c r="D16" s="185"/>
      <c r="E16" s="185"/>
      <c r="F16" s="13">
        <f>SUM(F9:F15)</f>
        <v>28469</v>
      </c>
    </row>
    <row r="19" spans="2:8">
      <c r="B19" s="12" t="s">
        <v>373</v>
      </c>
      <c r="F19" s="12" t="s">
        <v>324</v>
      </c>
    </row>
    <row r="20" spans="2:8">
      <c r="B20" s="106" t="s">
        <v>316</v>
      </c>
      <c r="C20" s="60"/>
      <c r="D20" s="60"/>
      <c r="E20" s="358">
        <f>-(9000-1200-1200-1200-1200+5600-2600+2200-1200-3000)</f>
        <v>-5200</v>
      </c>
    </row>
    <row r="21" spans="2:8">
      <c r="B21" s="4" t="s">
        <v>317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318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320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321</v>
      </c>
    </row>
    <row r="24" spans="2:8">
      <c r="B24" s="4" t="s">
        <v>318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322</v>
      </c>
      <c r="C25" s="397">
        <v>39514</v>
      </c>
      <c r="D25" s="5">
        <v>-1089</v>
      </c>
      <c r="E25" s="6">
        <f t="shared" si="0"/>
        <v>-20962</v>
      </c>
      <c r="F25" s="12" t="s">
        <v>323</v>
      </c>
    </row>
    <row r="26" spans="2:8">
      <c r="B26" s="4" t="s">
        <v>325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379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374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380</v>
      </c>
      <c r="C29" s="397"/>
      <c r="D29" s="5">
        <v>300</v>
      </c>
      <c r="E29" s="6">
        <f t="shared" si="0"/>
        <v>12674</v>
      </c>
    </row>
    <row r="30" spans="2:8">
      <c r="B30" s="4" t="s">
        <v>383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425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463</v>
      </c>
      <c r="C32" s="397">
        <v>39986</v>
      </c>
      <c r="D32" s="5">
        <v>-2500</v>
      </c>
      <c r="E32" s="6">
        <f>+E31+D32</f>
        <v>8161</v>
      </c>
    </row>
    <row r="33" spans="2:7">
      <c r="B33" s="4" t="s">
        <v>549</v>
      </c>
      <c r="C33" s="397">
        <v>40021</v>
      </c>
      <c r="D33" s="5">
        <f>+F33*G33</f>
        <v>1831.5</v>
      </c>
      <c r="E33" s="6">
        <f>+E32+D33</f>
        <v>9992.5</v>
      </c>
      <c r="F33" s="438">
        <v>36630</v>
      </c>
      <c r="G33" s="176">
        <v>0.05</v>
      </c>
    </row>
    <row r="34" spans="2:7">
      <c r="B34" s="4" t="s">
        <v>463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463</v>
      </c>
      <c r="C35" s="397">
        <v>40353</v>
      </c>
      <c r="D35" s="5">
        <v>-2000</v>
      </c>
      <c r="E35" s="6">
        <f>+E34+D35</f>
        <v>4992.5</v>
      </c>
    </row>
    <row r="36" spans="2:7">
      <c r="B36" s="4"/>
      <c r="C36" s="397"/>
      <c r="D36" s="5"/>
      <c r="E36" s="6"/>
    </row>
    <row r="37" spans="2:7">
      <c r="B37" s="267"/>
      <c r="C37" s="10"/>
      <c r="D37" s="10"/>
      <c r="E37" s="11"/>
    </row>
    <row r="38" spans="2:7">
      <c r="B38" s="189" t="s">
        <v>319</v>
      </c>
      <c r="C38" s="185"/>
      <c r="D38" s="185"/>
      <c r="E38" s="13">
        <f>+E35</f>
        <v>4992.5</v>
      </c>
    </row>
    <row r="39" spans="2:7">
      <c r="B39" s="5"/>
      <c r="C39" s="5"/>
      <c r="D39" s="5"/>
      <c r="E39" s="5"/>
    </row>
    <row r="40" spans="2:7">
      <c r="B40" s="436" t="s">
        <v>384</v>
      </c>
      <c r="C40" s="437"/>
      <c r="D40" s="437"/>
      <c r="E40" s="438">
        <f>+E38+F16</f>
        <v>33461.5</v>
      </c>
    </row>
    <row r="41" spans="2:7">
      <c r="B41" s="5"/>
      <c r="C41" s="5"/>
      <c r="D41" s="5"/>
      <c r="E41" s="5"/>
    </row>
    <row r="42" spans="2:7">
      <c r="B42" s="5"/>
      <c r="C42" s="5"/>
      <c r="D42" s="5"/>
      <c r="E42" s="5"/>
    </row>
    <row r="45" spans="2:7">
      <c r="B45" s="106">
        <f>-12.5*4500</f>
        <v>-56250</v>
      </c>
      <c r="C45" s="122" t="s">
        <v>329</v>
      </c>
      <c r="D45" s="122"/>
      <c r="E45" s="97"/>
    </row>
    <row r="46" spans="2:7">
      <c r="B46" s="4">
        <v>3000</v>
      </c>
      <c r="C46" s="3" t="s">
        <v>377</v>
      </c>
      <c r="D46" s="3"/>
      <c r="E46" s="6"/>
    </row>
    <row r="47" spans="2:7">
      <c r="B47" s="4">
        <f>3000*3</f>
        <v>9000</v>
      </c>
      <c r="C47" s="3" t="s">
        <v>331</v>
      </c>
      <c r="D47" s="3"/>
      <c r="E47" s="6"/>
    </row>
    <row r="48" spans="2:7">
      <c r="B48" s="4">
        <v>2200</v>
      </c>
      <c r="C48" s="3" t="s">
        <v>332</v>
      </c>
      <c r="D48" s="3"/>
      <c r="E48" s="6"/>
    </row>
    <row r="49" spans="2:5">
      <c r="B49" s="267">
        <f>SUM(B45:B48)</f>
        <v>-42050</v>
      </c>
      <c r="C49" s="10" t="s">
        <v>378</v>
      </c>
      <c r="D49" s="10"/>
      <c r="E49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P66"/>
  <sheetViews>
    <sheetView showGridLines="0" tabSelected="1" topLeftCell="G27" zoomScale="80" workbookViewId="0">
      <pane xSplit="15840" topLeftCell="CI1" activePane="topRight"/>
      <selection activeCell="A13" sqref="A13"/>
      <selection pane="topRight" activeCell="CP19" sqref="CJ19:CP34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4">
      <c r="A4" s="104" t="s">
        <v>153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</row>
    <row r="5" spans="1:94">
      <c r="A5" s="192">
        <f>+Patr.!H8</f>
        <v>396120</v>
      </c>
      <c r="B5" s="147" t="s">
        <v>76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</row>
    <row r="6" spans="1:94">
      <c r="A6" s="193">
        <f>+Patr.!H9</f>
        <v>185750</v>
      </c>
      <c r="B6" s="8" t="s">
        <v>242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</row>
    <row r="7" spans="1:94">
      <c r="A7" s="193">
        <f>+Patr.!H10</f>
        <v>355136</v>
      </c>
      <c r="B7" s="8" t="s">
        <v>137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</row>
    <row r="8" spans="1:94">
      <c r="A8" s="193">
        <f>+Patr.!H11</f>
        <v>5982.5806451612898</v>
      </c>
      <c r="B8" s="8" t="s">
        <v>172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</row>
    <row r="9" spans="1:94">
      <c r="A9" s="194">
        <f>+Patr.!H12</f>
        <v>263816.76530946209</v>
      </c>
      <c r="B9" s="8" t="s">
        <v>78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</row>
    <row r="10" spans="1:94">
      <c r="A10" s="195">
        <f>SUM(A5:A9)</f>
        <v>1206805.3459546235</v>
      </c>
      <c r="B10" s="196" t="s">
        <v>148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</row>
    <row r="11" spans="1:94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O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" si="5">+CP10-$CI10</f>
        <v>408036.72602186212</v>
      </c>
    </row>
    <row r="12" spans="1:94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</row>
    <row r="13" spans="1:94">
      <c r="A13" s="195">
        <f>+Acc!I31</f>
        <v>365322.36599999998</v>
      </c>
      <c r="B13" s="199" t="s">
        <v>100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</row>
    <row r="14" spans="1:94">
      <c r="A14" s="4"/>
      <c r="B14" s="200" t="s">
        <v>243</v>
      </c>
      <c r="C14" s="210">
        <f t="shared" ref="C14:CC14" si="6">+C7-C13</f>
        <v>-2742.4199999999983</v>
      </c>
      <c r="D14" s="210">
        <f t="shared" si="6"/>
        <v>-1741.3199999999997</v>
      </c>
      <c r="E14" s="210">
        <f t="shared" si="6"/>
        <v>-1114.9199999999983</v>
      </c>
      <c r="F14" s="210">
        <f t="shared" si="6"/>
        <v>774.94999999999709</v>
      </c>
      <c r="G14" s="210">
        <f t="shared" si="6"/>
        <v>-84.335151926958133</v>
      </c>
      <c r="H14" s="210">
        <f t="shared" si="6"/>
        <v>-853.46515192695733</v>
      </c>
      <c r="I14" s="210">
        <f t="shared" si="6"/>
        <v>545.51484807304951</v>
      </c>
      <c r="J14" s="210">
        <f t="shared" si="6"/>
        <v>-827.78417253711086</v>
      </c>
      <c r="K14" s="210">
        <f t="shared" si="6"/>
        <v>-76.282904910520301</v>
      </c>
      <c r="L14" s="210">
        <f t="shared" si="6"/>
        <v>-1103.5348210561206</v>
      </c>
      <c r="M14" s="210">
        <f t="shared" si="6"/>
        <v>3744.9752628402493</v>
      </c>
      <c r="N14" s="210">
        <f t="shared" si="6"/>
        <v>5647.4530143437587</v>
      </c>
      <c r="O14" s="210">
        <f t="shared" si="6"/>
        <v>5110.1612282900314</v>
      </c>
      <c r="P14" s="432">
        <f t="shared" si="6"/>
        <v>8043.5149781511718</v>
      </c>
      <c r="Q14" s="210">
        <f t="shared" si="6"/>
        <v>11174.285112245721</v>
      </c>
      <c r="R14" s="210">
        <f t="shared" si="6"/>
        <v>14841.361653673011</v>
      </c>
      <c r="S14" s="210">
        <f t="shared" si="6"/>
        <v>12403.0096195488</v>
      </c>
      <c r="T14" s="210">
        <f t="shared" si="6"/>
        <v>11525.59436270631</v>
      </c>
      <c r="U14" s="210">
        <f t="shared" si="6"/>
        <v>17081.167269598169</v>
      </c>
      <c r="V14" s="210">
        <f t="shared" si="6"/>
        <v>7291.820171000043</v>
      </c>
      <c r="W14" s="210">
        <f t="shared" si="6"/>
        <v>12857.026663962562</v>
      </c>
      <c r="X14" s="210">
        <f t="shared" si="6"/>
        <v>19967.862505833924</v>
      </c>
      <c r="Y14" s="210">
        <f t="shared" si="6"/>
        <v>14827.881640735461</v>
      </c>
      <c r="Z14" s="210">
        <f t="shared" si="6"/>
        <v>8482.7075606406434</v>
      </c>
      <c r="AA14" s="210">
        <f t="shared" si="6"/>
        <v>12607.996745851153</v>
      </c>
      <c r="AB14" s="210">
        <f t="shared" si="6"/>
        <v>15628.903645545797</v>
      </c>
      <c r="AC14" s="210">
        <f t="shared" si="6"/>
        <v>17852.794231659413</v>
      </c>
      <c r="AD14" s="210">
        <f t="shared" si="6"/>
        <v>15226.833172693412</v>
      </c>
      <c r="AE14" s="210">
        <f t="shared" si="6"/>
        <v>7342.7881023146911</v>
      </c>
      <c r="AF14" s="210">
        <f t="shared" si="6"/>
        <v>13261.221805677778</v>
      </c>
      <c r="AG14" s="367">
        <f t="shared" si="6"/>
        <v>15387.039309534754</v>
      </c>
      <c r="AH14" s="432">
        <f t="shared" si="6"/>
        <v>17851.014742352956</v>
      </c>
      <c r="AI14" s="210">
        <f t="shared" si="6"/>
        <v>20319.867865907072</v>
      </c>
      <c r="AJ14" s="210">
        <f t="shared" si="6"/>
        <v>20940.532009844828</v>
      </c>
      <c r="AK14" s="210">
        <f t="shared" si="6"/>
        <v>16331.231211203791</v>
      </c>
      <c r="AL14" s="210">
        <f t="shared" si="6"/>
        <v>22828.880565156869</v>
      </c>
      <c r="AM14" s="210">
        <f t="shared" si="6"/>
        <v>29439.374246415173</v>
      </c>
      <c r="AN14" s="210">
        <f t="shared" si="6"/>
        <v>37037.157984194462</v>
      </c>
      <c r="AO14" s="210">
        <f t="shared" si="6"/>
        <v>45657.795841735962</v>
      </c>
      <c r="AP14" s="432">
        <f t="shared" si="6"/>
        <v>33602.650437873686</v>
      </c>
      <c r="AQ14" s="210">
        <f t="shared" si="6"/>
        <v>38794.297339436176</v>
      </c>
      <c r="AR14" s="210">
        <f t="shared" si="6"/>
        <v>44188.980426236551</v>
      </c>
      <c r="AS14" s="210">
        <f t="shared" si="6"/>
        <v>52375.725262322492</v>
      </c>
      <c r="AT14" s="210">
        <f t="shared" si="6"/>
        <v>49788.479572835466</v>
      </c>
      <c r="AU14" s="210">
        <f t="shared" si="6"/>
        <v>51221.038422134821</v>
      </c>
      <c r="AV14" s="210">
        <f t="shared" si="6"/>
        <v>46839.798989205388</v>
      </c>
      <c r="AW14" s="210">
        <f t="shared" si="6"/>
        <v>55899.154584428281</v>
      </c>
      <c r="AX14" s="210">
        <f t="shared" si="6"/>
        <v>37615.59733968199</v>
      </c>
      <c r="AY14" s="210">
        <f t="shared" si="6"/>
        <v>40713.909431787251</v>
      </c>
      <c r="AZ14" s="210">
        <f t="shared" si="6"/>
        <v>48954.089431787244</v>
      </c>
      <c r="BA14" s="210">
        <f t="shared" si="6"/>
        <v>53379.389431787233</v>
      </c>
      <c r="BB14" s="424">
        <f t="shared" si="6"/>
        <v>62217.089431787244</v>
      </c>
      <c r="BC14" s="210">
        <f t="shared" si="6"/>
        <v>65191.019431787237</v>
      </c>
      <c r="BD14" s="210">
        <f t="shared" si="6"/>
        <v>53037.07943178725</v>
      </c>
      <c r="BE14" s="210">
        <f t="shared" si="6"/>
        <v>62596.209431787254</v>
      </c>
      <c r="BF14" s="210">
        <f t="shared" si="6"/>
        <v>53779.183340878153</v>
      </c>
      <c r="BG14" s="210">
        <f t="shared" si="6"/>
        <v>47585.878849211498</v>
      </c>
      <c r="BH14" s="210">
        <f t="shared" si="6"/>
        <v>45078.418849211506</v>
      </c>
      <c r="BI14" s="210">
        <f t="shared" si="6"/>
        <v>47406.298849211511</v>
      </c>
      <c r="BJ14" s="210">
        <f t="shared" si="6"/>
        <v>36335.033440120591</v>
      </c>
      <c r="BK14" s="210">
        <f t="shared" si="6"/>
        <v>9076.3994082056961</v>
      </c>
      <c r="BL14" s="210">
        <f t="shared" si="6"/>
        <v>8854.5794082056964</v>
      </c>
      <c r="BM14" s="210">
        <f t="shared" si="6"/>
        <v>9675.1094082056952</v>
      </c>
      <c r="BN14" s="424">
        <f t="shared" si="6"/>
        <v>9741.8694082056973</v>
      </c>
      <c r="BO14" s="210">
        <f t="shared" si="6"/>
        <v>-861.21059179430449</v>
      </c>
      <c r="BP14" s="210">
        <f t="shared" si="6"/>
        <v>-3473.9305917943057</v>
      </c>
      <c r="BQ14" s="210">
        <f t="shared" si="6"/>
        <v>69.258851626746036</v>
      </c>
      <c r="BR14" s="210">
        <f t="shared" si="6"/>
        <v>1071.5788516267457</v>
      </c>
      <c r="BS14" s="210">
        <f t="shared" si="6"/>
        <v>-5429.6411483732554</v>
      </c>
      <c r="BT14" s="210">
        <f t="shared" si="6"/>
        <v>-5429.6411483732554</v>
      </c>
      <c r="BU14" s="210">
        <f t="shared" si="6"/>
        <v>-8419.2211483732535</v>
      </c>
      <c r="BV14" s="210">
        <f t="shared" si="6"/>
        <v>-10817.501148373256</v>
      </c>
      <c r="BW14" s="210">
        <f t="shared" si="6"/>
        <v>35.96515162675496</v>
      </c>
      <c r="BX14" s="432">
        <f t="shared" si="6"/>
        <v>13971.125151626751</v>
      </c>
      <c r="BY14" s="210">
        <f t="shared" si="6"/>
        <v>23076.103484960084</v>
      </c>
      <c r="BZ14" s="210">
        <f t="shared" si="6"/>
        <v>3892.2501516267512</v>
      </c>
      <c r="CA14" s="210">
        <f t="shared" si="6"/>
        <v>-19244.709848373255</v>
      </c>
      <c r="CB14" s="210">
        <f t="shared" si="6"/>
        <v>-5289.9598483732698</v>
      </c>
      <c r="CC14" s="210">
        <f t="shared" si="6"/>
        <v>14238.000151626737</v>
      </c>
      <c r="CD14" s="210">
        <f t="shared" ref="CD14:CM14" si="7">+CD7-CD13</f>
        <v>-3288.4648483732453</v>
      </c>
      <c r="CE14" s="210">
        <f t="shared" si="7"/>
        <v>6890.0051516267413</v>
      </c>
      <c r="CF14" s="210">
        <f t="shared" si="7"/>
        <v>15802.845151626752</v>
      </c>
      <c r="CG14" s="210">
        <f t="shared" si="7"/>
        <v>18012.595151626752</v>
      </c>
      <c r="CH14" s="210">
        <f t="shared" si="7"/>
        <v>10054.706401626696</v>
      </c>
      <c r="CI14" s="432">
        <f t="shared" si="7"/>
        <v>19004.045151626691</v>
      </c>
      <c r="CJ14" s="210">
        <f t="shared" si="7"/>
        <v>13703.565151626754</v>
      </c>
      <c r="CK14" s="210">
        <f t="shared" si="7"/>
        <v>2600.4649999999674</v>
      </c>
      <c r="CL14" s="210">
        <f t="shared" si="7"/>
        <v>13487.729999999981</v>
      </c>
      <c r="CM14" s="210">
        <f t="shared" si="7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</row>
    <row r="15" spans="1:94">
      <c r="A15" s="4"/>
      <c r="B15" s="200" t="s">
        <v>152</v>
      </c>
      <c r="C15" s="58">
        <f t="shared" ref="C15:P15" si="8">IF(C13=0,"",(C7-C13)/C13)</f>
        <v>-6.0832532745715658E-2</v>
      </c>
      <c r="D15" s="58">
        <f t="shared" si="8"/>
        <v>-0.11680667252046088</v>
      </c>
      <c r="E15" s="58">
        <f t="shared" si="8"/>
        <v>-4.091042688965605E-2</v>
      </c>
      <c r="F15" s="58">
        <f t="shared" si="8"/>
        <v>1.9499409066879161E-2</v>
      </c>
      <c r="G15" s="58">
        <f t="shared" si="8"/>
        <v>-6.1819681931369998E-3</v>
      </c>
      <c r="H15" s="58">
        <f t="shared" si="8"/>
        <v>-2.9300677459562118E-2</v>
      </c>
      <c r="I15" s="58">
        <f t="shared" si="8"/>
        <v>1.1375246512357801E-2</v>
      </c>
      <c r="J15" s="58">
        <f t="shared" si="8"/>
        <v>-1.1288394435022114E-2</v>
      </c>
      <c r="K15" s="58">
        <f t="shared" si="8"/>
        <v>-1.0402609132281197E-3</v>
      </c>
      <c r="L15" s="58">
        <f t="shared" si="8"/>
        <v>-1.2921240772975172E-2</v>
      </c>
      <c r="M15" s="58">
        <f t="shared" si="8"/>
        <v>4.3849750942778792E-2</v>
      </c>
      <c r="N15" s="58">
        <f t="shared" si="8"/>
        <v>6.6125779413614985E-2</v>
      </c>
      <c r="O15" s="58">
        <f t="shared" si="8"/>
        <v>5.9834653478596567E-2</v>
      </c>
      <c r="P15" s="7">
        <f t="shared" si="8"/>
        <v>8.7949108227675654E-2</v>
      </c>
      <c r="Q15" s="58">
        <f t="shared" ref="Q15:V15" si="9">IF(Q13=0,"",(Q7-Q13)/Q13)</f>
        <v>0.12218146088784884</v>
      </c>
      <c r="R15" s="58">
        <f t="shared" si="9"/>
        <v>0.16227787551469033</v>
      </c>
      <c r="S15" s="58">
        <f t="shared" si="9"/>
        <v>0.13561653559938186</v>
      </c>
      <c r="T15" s="58">
        <f t="shared" si="9"/>
        <v>0.11801595926315873</v>
      </c>
      <c r="U15" s="58">
        <f t="shared" si="9"/>
        <v>0.17490207248476847</v>
      </c>
      <c r="V15" s="58">
        <f t="shared" si="9"/>
        <v>5.8611300484367329E-2</v>
      </c>
      <c r="W15" s="58">
        <f t="shared" ref="W15:AB15" si="10">IF(W13=0,"",(W7-W13)/W13)</f>
        <v>0.10334416311225131</v>
      </c>
      <c r="X15" s="58">
        <f t="shared" si="10"/>
        <v>0.16050072024739148</v>
      </c>
      <c r="Y15" s="58">
        <f t="shared" si="10"/>
        <v>0.11277951344306214</v>
      </c>
      <c r="Z15" s="58">
        <f t="shared" si="10"/>
        <v>6.154748689804445E-2</v>
      </c>
      <c r="AA15" s="58">
        <f t="shared" si="10"/>
        <v>9.1479107228265147E-2</v>
      </c>
      <c r="AB15" s="58">
        <f t="shared" si="10"/>
        <v>0.11339772536993856</v>
      </c>
      <c r="AC15" s="58">
        <f t="shared" ref="AC15:AH15" si="11">IF(AC13=0,"",(AC7-AC13)/AC13)</f>
        <v>0.12953347869315873</v>
      </c>
      <c r="AD15" s="58">
        <f t="shared" si="11"/>
        <v>0.11048044607166414</v>
      </c>
      <c r="AE15" s="58">
        <f t="shared" si="11"/>
        <v>5.6453312450127885E-2</v>
      </c>
      <c r="AF15" s="58">
        <f t="shared" si="11"/>
        <v>0.10195580856138017</v>
      </c>
      <c r="AG15" s="368">
        <f t="shared" si="11"/>
        <v>0.11986578877856939</v>
      </c>
      <c r="AH15" s="7">
        <f t="shared" si="11"/>
        <v>0.15440422648864874</v>
      </c>
      <c r="AI15" s="58">
        <f t="shared" ref="AI15:AN15" si="12">IF(AI13=0,"",(AI7-AI13)/AI13)</f>
        <v>0.21500147467923367</v>
      </c>
      <c r="AJ15" s="58">
        <f t="shared" si="12"/>
        <v>0.22842988563785255</v>
      </c>
      <c r="AK15" s="58">
        <f t="shared" si="12"/>
        <v>0.14854806080698876</v>
      </c>
      <c r="AL15" s="58">
        <f t="shared" si="12"/>
        <v>0.20769748509326602</v>
      </c>
      <c r="AM15" s="58">
        <f t="shared" si="12"/>
        <v>0.24709392897282906</v>
      </c>
      <c r="AN15" s="58">
        <f t="shared" si="12"/>
        <v>0.32387671187344458</v>
      </c>
      <c r="AO15" s="58">
        <f t="shared" ref="AO15:AT15" si="13">IF(AO13=0,"",(AO7-AO13)/AO13)</f>
        <v>0.39926110947608379</v>
      </c>
      <c r="AP15" s="7">
        <f t="shared" si="13"/>
        <v>0.2967579681511931</v>
      </c>
      <c r="AQ15" s="58">
        <f t="shared" si="13"/>
        <v>0.31594464939281686</v>
      </c>
      <c r="AR15" s="58">
        <f t="shared" si="13"/>
        <v>0.32997118882665571</v>
      </c>
      <c r="AS15" s="58">
        <f t="shared" si="13"/>
        <v>0.43009091109572495</v>
      </c>
      <c r="AT15" s="58">
        <f t="shared" si="13"/>
        <v>0.40884536556395851</v>
      </c>
      <c r="AU15" s="58">
        <f t="shared" ref="AU15:AZ15" si="14">IF(AU13=0,"",(AU7-AU13)/AU13)</f>
        <v>0.36975478535689893</v>
      </c>
      <c r="AV15" s="58">
        <f t="shared" si="14"/>
        <v>0.35790772816886107</v>
      </c>
      <c r="AW15" s="58">
        <f t="shared" si="14"/>
        <v>0.4589226100945431</v>
      </c>
      <c r="AX15" s="58">
        <f t="shared" si="14"/>
        <v>0.34985211687817552</v>
      </c>
      <c r="AY15" s="58">
        <f t="shared" si="14"/>
        <v>0.35556241699975488</v>
      </c>
      <c r="AZ15" s="58">
        <f t="shared" si="14"/>
        <v>0.42752549689562774</v>
      </c>
      <c r="BA15" s="58">
        <f t="shared" ref="BA15:BF15" si="15">IF(BA13=0,"",(BA7-BA13)/BA13)</f>
        <v>0.46617249459024185</v>
      </c>
      <c r="BB15" s="425">
        <f t="shared" si="15"/>
        <v>0.54335383179352592</v>
      </c>
      <c r="BC15" s="58">
        <f t="shared" si="15"/>
        <v>0.56932573558625044</v>
      </c>
      <c r="BD15" s="58">
        <f t="shared" si="15"/>
        <v>0.36611670587650413</v>
      </c>
      <c r="BE15" s="58">
        <f t="shared" si="15"/>
        <v>0.43210369505727947</v>
      </c>
      <c r="BF15" s="58">
        <f t="shared" si="15"/>
        <v>0.44471437481716403</v>
      </c>
      <c r="BG15" s="58">
        <f t="shared" ref="BG15:BL15" si="16">IF(BG13=0,"",(BG7-BG13)/BG13)</f>
        <v>0.59467361930878337</v>
      </c>
      <c r="BH15" s="58">
        <f t="shared" si="16"/>
        <v>0.56333826626850425</v>
      </c>
      <c r="BI15" s="58">
        <f t="shared" si="16"/>
        <v>0.592429434875543</v>
      </c>
      <c r="BJ15" s="58">
        <f t="shared" si="16"/>
        <v>0.62860979887471602</v>
      </c>
      <c r="BK15" s="58">
        <f t="shared" si="16"/>
        <v>0.21468145783864906</v>
      </c>
      <c r="BL15" s="58">
        <f t="shared" si="16"/>
        <v>0.20943481334493974</v>
      </c>
      <c r="BM15" s="58">
        <f t="shared" ref="BM15:BR15" si="17">IF(BM13=0,"",(BM7-BM13)/BM13)</f>
        <v>0.2288425728184918</v>
      </c>
      <c r="BN15" s="425">
        <f t="shared" si="17"/>
        <v>0.20173260625833986</v>
      </c>
      <c r="BO15" s="58">
        <f t="shared" si="17"/>
        <v>-1.7833769879281459E-2</v>
      </c>
      <c r="BP15" s="58">
        <f t="shared" si="17"/>
        <v>-7.1937432424719783E-2</v>
      </c>
      <c r="BQ15" s="58">
        <f t="shared" si="17"/>
        <v>2.1776239020053273E-3</v>
      </c>
      <c r="BR15" s="58">
        <f t="shared" si="17"/>
        <v>3.3692382495188293E-2</v>
      </c>
      <c r="BS15" s="58">
        <f t="shared" ref="BS15:BX15" si="18">IF(BS13=0,"",(BS7-BS13)/BS13)</f>
        <v>-0.17071776482420378</v>
      </c>
      <c r="BT15" s="58">
        <f t="shared" si="18"/>
        <v>-0.17071776482420378</v>
      </c>
      <c r="BU15" s="58">
        <f t="shared" si="18"/>
        <v>-0.13137219559960631</v>
      </c>
      <c r="BV15" s="58">
        <f t="shared" si="18"/>
        <v>-0.34012185456986072</v>
      </c>
      <c r="BW15" s="58">
        <f t="shared" si="18"/>
        <v>6.1669059178747442E-4</v>
      </c>
      <c r="BX15" s="7">
        <f t="shared" si="18"/>
        <v>0.11585267371282035</v>
      </c>
      <c r="BY15" s="58">
        <f t="shared" ref="BY15:CD15" si="19">IF(BY13=0,"",(BY7-BY13)/BY13)</f>
        <v>0.2045060990651543</v>
      </c>
      <c r="BZ15" s="58">
        <f t="shared" si="19"/>
        <v>4.5880764577416661E-2</v>
      </c>
      <c r="CA15" s="58">
        <f t="shared" si="19"/>
        <v>-0.16278066447024483</v>
      </c>
      <c r="CB15" s="58">
        <f t="shared" si="19"/>
        <v>-4.7605179047150253E-2</v>
      </c>
      <c r="CC15" s="58">
        <f t="shared" si="19"/>
        <v>0.1281299983212493</v>
      </c>
      <c r="CD15" s="58">
        <f t="shared" si="19"/>
        <v>-2.872862864632875E-2</v>
      </c>
      <c r="CE15" s="58">
        <f t="shared" ref="CE15:CJ15" si="20">IF(CE13=0,"",(CE7-CE13)/CE13)</f>
        <v>6.0192341563357392E-2</v>
      </c>
      <c r="CF15" s="58">
        <f t="shared" si="20"/>
        <v>0.13805653727486425</v>
      </c>
      <c r="CG15" s="58">
        <f t="shared" si="20"/>
        <v>0.15736131627611435</v>
      </c>
      <c r="CH15" s="58">
        <f t="shared" si="20"/>
        <v>7.4350930930324022E-2</v>
      </c>
      <c r="CI15" s="7">
        <f t="shared" si="20"/>
        <v>0.12715285548715863</v>
      </c>
      <c r="CJ15" s="58">
        <f t="shared" si="20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</row>
    <row r="16" spans="1:94">
      <c r="A16" s="4"/>
      <c r="B16" s="199" t="s">
        <v>149</v>
      </c>
      <c r="C16" s="203"/>
      <c r="D16" s="203">
        <f>3052-530</f>
        <v>2522</v>
      </c>
      <c r="E16" s="203"/>
      <c r="F16" s="203"/>
      <c r="G16" s="203">
        <f>4094-558</f>
        <v>3536</v>
      </c>
      <c r="H16" s="203"/>
      <c r="I16" s="203"/>
      <c r="J16" s="203"/>
      <c r="K16" s="203"/>
      <c r="L16" s="203"/>
      <c r="M16" s="203"/>
      <c r="N16" s="203"/>
      <c r="O16" s="203"/>
      <c r="P16" s="433"/>
      <c r="Q16" s="203"/>
      <c r="R16" s="203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203">
        <v>1551.97</v>
      </c>
      <c r="AF16" s="203"/>
      <c r="AG16" s="369">
        <v>3234.49</v>
      </c>
      <c r="AH16" s="433">
        <v>3568</v>
      </c>
      <c r="AI16" s="203">
        <v>3596.9648571428575</v>
      </c>
      <c r="AJ16" s="203">
        <v>1268.48</v>
      </c>
      <c r="AK16" s="203">
        <v>0</v>
      </c>
      <c r="AL16" s="203">
        <v>0</v>
      </c>
      <c r="AM16" s="203">
        <v>0</v>
      </c>
      <c r="AN16" s="203">
        <v>1976.3751428571436</v>
      </c>
      <c r="AO16" s="203">
        <v>0</v>
      </c>
      <c r="AP16" s="433">
        <v>8429</v>
      </c>
      <c r="AQ16" s="203">
        <v>0</v>
      </c>
      <c r="AR16" s="203">
        <v>0</v>
      </c>
      <c r="AS16" s="203">
        <v>8074.41</v>
      </c>
      <c r="AT16" s="203">
        <v>0</v>
      </c>
      <c r="AU16" s="203">
        <v>0</v>
      </c>
      <c r="AV16" s="203">
        <v>8000</v>
      </c>
      <c r="AW16" s="203">
        <v>6005</v>
      </c>
      <c r="AX16" s="203">
        <v>19529</v>
      </c>
      <c r="AY16" s="203">
        <v>3546</v>
      </c>
      <c r="AZ16" s="203"/>
      <c r="BA16" s="203"/>
      <c r="BB16" s="426"/>
      <c r="BC16" s="203"/>
      <c r="BD16" s="203"/>
      <c r="BE16" s="203"/>
      <c r="BF16" s="203">
        <v>10029</v>
      </c>
      <c r="BG16" s="203">
        <v>12240</v>
      </c>
      <c r="BH16" s="203">
        <v>0</v>
      </c>
      <c r="BI16" s="203">
        <v>0</v>
      </c>
      <c r="BJ16" s="203">
        <v>14145</v>
      </c>
      <c r="BK16" s="203">
        <v>35960</v>
      </c>
      <c r="BL16" s="203"/>
      <c r="BM16" s="203"/>
      <c r="BN16" s="426"/>
      <c r="BO16" s="203"/>
      <c r="BP16" s="203"/>
      <c r="BQ16" s="203">
        <v>4322</v>
      </c>
      <c r="BR16" s="203"/>
      <c r="BS16" s="203"/>
      <c r="BT16" s="203"/>
      <c r="BU16" s="203"/>
      <c r="BV16" s="203">
        <v>-9278.59</v>
      </c>
      <c r="BW16" s="203">
        <v>14655</v>
      </c>
      <c r="BX16" s="433">
        <v>0</v>
      </c>
      <c r="BY16" s="203">
        <v>9054.6416666666701</v>
      </c>
      <c r="BZ16" s="203">
        <v>3060.7491666666701</v>
      </c>
      <c r="CA16" s="203">
        <v>-9411.2040000000015</v>
      </c>
      <c r="CB16" s="203">
        <v>6651.67</v>
      </c>
      <c r="CC16" s="203">
        <v>0</v>
      </c>
      <c r="CD16" s="203">
        <v>8139.7850000000008</v>
      </c>
      <c r="CE16" s="203">
        <v>0</v>
      </c>
      <c r="CF16" s="203">
        <v>0</v>
      </c>
      <c r="CG16" s="203">
        <v>0</v>
      </c>
      <c r="CH16" s="203">
        <v>-6977.5</v>
      </c>
      <c r="CI16" s="433">
        <v>0</v>
      </c>
      <c r="CJ16" s="203">
        <v>18389.665000000001</v>
      </c>
      <c r="CK16" s="203">
        <v>-4849.8</v>
      </c>
      <c r="CL16" s="203">
        <v>0</v>
      </c>
      <c r="CM16" s="203">
        <v>0</v>
      </c>
      <c r="CN16" s="203">
        <v>3031.3599999999988</v>
      </c>
      <c r="CO16" s="203">
        <v>0</v>
      </c>
      <c r="CP16" s="203">
        <v>0</v>
      </c>
    </row>
    <row r="17" spans="1:94">
      <c r="A17" s="4"/>
      <c r="B17" s="201" t="s">
        <v>150</v>
      </c>
      <c r="C17" s="202"/>
      <c r="D17" s="202">
        <f>+D16+C17</f>
        <v>2522</v>
      </c>
      <c r="E17" s="202">
        <f t="shared" ref="E17:CP17" si="21">+E16+D17</f>
        <v>2522</v>
      </c>
      <c r="F17" s="202">
        <f t="shared" si="21"/>
        <v>2522</v>
      </c>
      <c r="G17" s="202">
        <f t="shared" si="21"/>
        <v>6058</v>
      </c>
      <c r="H17" s="202">
        <f t="shared" si="21"/>
        <v>6058</v>
      </c>
      <c r="I17" s="202">
        <f t="shared" si="21"/>
        <v>6058</v>
      </c>
      <c r="J17" s="202">
        <f t="shared" si="21"/>
        <v>6058</v>
      </c>
      <c r="K17" s="202">
        <f t="shared" si="21"/>
        <v>6058</v>
      </c>
      <c r="L17" s="202">
        <f t="shared" si="21"/>
        <v>6058</v>
      </c>
      <c r="M17" s="202">
        <f t="shared" si="21"/>
        <v>6058</v>
      </c>
      <c r="N17" s="202">
        <f t="shared" si="21"/>
        <v>6058</v>
      </c>
      <c r="O17" s="202">
        <f t="shared" si="21"/>
        <v>6058</v>
      </c>
      <c r="P17" s="434">
        <f t="shared" si="21"/>
        <v>6058</v>
      </c>
      <c r="Q17" s="202">
        <f t="shared" si="21"/>
        <v>6058</v>
      </c>
      <c r="R17" s="202">
        <f t="shared" si="21"/>
        <v>6058</v>
      </c>
      <c r="S17" s="202">
        <f t="shared" si="21"/>
        <v>6058</v>
      </c>
      <c r="T17" s="202">
        <f t="shared" si="21"/>
        <v>6058</v>
      </c>
      <c r="U17" s="202">
        <f t="shared" si="21"/>
        <v>6058</v>
      </c>
      <c r="V17" s="202">
        <f t="shared" si="21"/>
        <v>6058</v>
      </c>
      <c r="W17" s="202">
        <f t="shared" si="21"/>
        <v>6058</v>
      </c>
      <c r="X17" s="202">
        <f t="shared" si="21"/>
        <v>6058</v>
      </c>
      <c r="Y17" s="202">
        <f t="shared" si="21"/>
        <v>6058</v>
      </c>
      <c r="Z17" s="202">
        <f t="shared" si="21"/>
        <v>6058</v>
      </c>
      <c r="AA17" s="202">
        <f t="shared" si="21"/>
        <v>6058</v>
      </c>
      <c r="AB17" s="202">
        <f t="shared" si="21"/>
        <v>6058</v>
      </c>
      <c r="AC17" s="202">
        <f t="shared" si="21"/>
        <v>6058</v>
      </c>
      <c r="AD17" s="202">
        <f t="shared" si="21"/>
        <v>6058</v>
      </c>
      <c r="AE17" s="202">
        <f t="shared" si="21"/>
        <v>7609.97</v>
      </c>
      <c r="AF17" s="202">
        <f t="shared" si="21"/>
        <v>7609.97</v>
      </c>
      <c r="AG17" s="370">
        <f t="shared" si="21"/>
        <v>10844.46</v>
      </c>
      <c r="AH17" s="434">
        <f t="shared" si="21"/>
        <v>14412.46</v>
      </c>
      <c r="AI17" s="202">
        <f t="shared" si="21"/>
        <v>18009.424857142858</v>
      </c>
      <c r="AJ17" s="202">
        <f t="shared" si="21"/>
        <v>19277.904857142858</v>
      </c>
      <c r="AK17" s="202">
        <f t="shared" si="21"/>
        <v>19277.904857142858</v>
      </c>
      <c r="AL17" s="202">
        <f t="shared" si="21"/>
        <v>19277.904857142858</v>
      </c>
      <c r="AM17" s="202">
        <f t="shared" si="21"/>
        <v>19277.904857142858</v>
      </c>
      <c r="AN17" s="202">
        <f t="shared" si="21"/>
        <v>21254.280000000002</v>
      </c>
      <c r="AO17" s="202">
        <f t="shared" si="21"/>
        <v>21254.280000000002</v>
      </c>
      <c r="AP17" s="434">
        <f t="shared" si="21"/>
        <v>29683.280000000002</v>
      </c>
      <c r="AQ17" s="202">
        <f t="shared" si="21"/>
        <v>29683.280000000002</v>
      </c>
      <c r="AR17" s="202">
        <f t="shared" si="21"/>
        <v>29683.280000000002</v>
      </c>
      <c r="AS17" s="202">
        <f t="shared" si="21"/>
        <v>37757.69</v>
      </c>
      <c r="AT17" s="202">
        <f t="shared" si="21"/>
        <v>37757.69</v>
      </c>
      <c r="AU17" s="202">
        <f t="shared" si="21"/>
        <v>37757.69</v>
      </c>
      <c r="AV17" s="202">
        <f t="shared" si="21"/>
        <v>45757.69</v>
      </c>
      <c r="AW17" s="202">
        <f t="shared" si="21"/>
        <v>51762.69</v>
      </c>
      <c r="AX17" s="202">
        <f t="shared" si="21"/>
        <v>71291.69</v>
      </c>
      <c r="AY17" s="202">
        <f t="shared" si="21"/>
        <v>74837.69</v>
      </c>
      <c r="AZ17" s="202">
        <f t="shared" si="21"/>
        <v>74837.69</v>
      </c>
      <c r="BA17" s="202">
        <f t="shared" si="21"/>
        <v>74837.69</v>
      </c>
      <c r="BB17" s="427">
        <f t="shared" si="21"/>
        <v>74837.69</v>
      </c>
      <c r="BC17" s="202">
        <f t="shared" si="21"/>
        <v>74837.69</v>
      </c>
      <c r="BD17" s="202">
        <f t="shared" si="21"/>
        <v>74837.69</v>
      </c>
      <c r="BE17" s="202">
        <f t="shared" si="21"/>
        <v>74837.69</v>
      </c>
      <c r="BF17" s="202">
        <f t="shared" si="21"/>
        <v>84866.69</v>
      </c>
      <c r="BG17" s="202">
        <f t="shared" si="21"/>
        <v>97106.69</v>
      </c>
      <c r="BH17" s="202">
        <f t="shared" si="21"/>
        <v>97106.69</v>
      </c>
      <c r="BI17" s="202">
        <f t="shared" si="21"/>
        <v>97106.69</v>
      </c>
      <c r="BJ17" s="202">
        <f t="shared" si="21"/>
        <v>111251.69</v>
      </c>
      <c r="BK17" s="202">
        <f t="shared" si="21"/>
        <v>147211.69</v>
      </c>
      <c r="BL17" s="202">
        <f t="shared" si="21"/>
        <v>147211.69</v>
      </c>
      <c r="BM17" s="202">
        <f t="shared" si="21"/>
        <v>147211.69</v>
      </c>
      <c r="BN17" s="427">
        <f t="shared" si="21"/>
        <v>147211.69</v>
      </c>
      <c r="BO17" s="202">
        <f t="shared" si="21"/>
        <v>147211.69</v>
      </c>
      <c r="BP17" s="202">
        <f t="shared" si="21"/>
        <v>147211.69</v>
      </c>
      <c r="BQ17" s="202">
        <f t="shared" si="21"/>
        <v>151533.69</v>
      </c>
      <c r="BR17" s="202">
        <f t="shared" si="21"/>
        <v>151533.69</v>
      </c>
      <c r="BS17" s="202">
        <f t="shared" si="21"/>
        <v>151533.69</v>
      </c>
      <c r="BT17" s="202">
        <f t="shared" si="21"/>
        <v>151533.69</v>
      </c>
      <c r="BU17" s="202">
        <f t="shared" si="21"/>
        <v>151533.69</v>
      </c>
      <c r="BV17" s="202">
        <f t="shared" si="21"/>
        <v>142255.1</v>
      </c>
      <c r="BW17" s="202">
        <f t="shared" si="21"/>
        <v>156910.1</v>
      </c>
      <c r="BX17" s="434">
        <f t="shared" si="21"/>
        <v>156910.1</v>
      </c>
      <c r="BY17" s="202">
        <f t="shared" si="21"/>
        <v>165964.74166666667</v>
      </c>
      <c r="BZ17" s="202">
        <f t="shared" si="21"/>
        <v>169025.49083333334</v>
      </c>
      <c r="CA17" s="202">
        <f t="shared" si="21"/>
        <v>159614.28683333335</v>
      </c>
      <c r="CB17" s="202">
        <f t="shared" si="21"/>
        <v>166265.95683333336</v>
      </c>
      <c r="CC17" s="202">
        <f t="shared" si="21"/>
        <v>166265.95683333336</v>
      </c>
      <c r="CD17" s="202">
        <f t="shared" si="21"/>
        <v>174405.74183333336</v>
      </c>
      <c r="CE17" s="202">
        <f t="shared" si="21"/>
        <v>174405.74183333336</v>
      </c>
      <c r="CF17" s="202">
        <f t="shared" si="21"/>
        <v>174405.74183333336</v>
      </c>
      <c r="CG17" s="202">
        <f t="shared" si="21"/>
        <v>174405.74183333336</v>
      </c>
      <c r="CH17" s="202">
        <f t="shared" si="21"/>
        <v>167428.24183333336</v>
      </c>
      <c r="CI17" s="434">
        <f t="shared" si="21"/>
        <v>167428.24183333336</v>
      </c>
      <c r="CJ17" s="202">
        <f t="shared" si="21"/>
        <v>185817.90683333337</v>
      </c>
      <c r="CK17" s="202">
        <f t="shared" si="21"/>
        <v>180968.10683333338</v>
      </c>
      <c r="CL17" s="202">
        <f t="shared" si="21"/>
        <v>180968.10683333338</v>
      </c>
      <c r="CM17" s="202">
        <f t="shared" si="21"/>
        <v>180968.10683333338</v>
      </c>
      <c r="CN17" s="202">
        <f t="shared" si="21"/>
        <v>183999.46683333337</v>
      </c>
      <c r="CO17" s="202">
        <v>183999.46683333337</v>
      </c>
      <c r="CP17" s="202">
        <f t="shared" si="21"/>
        <v>183999.46683333337</v>
      </c>
    </row>
    <row r="18" spans="1:94">
      <c r="A18" s="4"/>
      <c r="B18" s="204" t="s">
        <v>151</v>
      </c>
      <c r="C18" s="205">
        <f t="shared" ref="C18:CC18" si="22">+C17+C14</f>
        <v>-2742.4199999999983</v>
      </c>
      <c r="D18" s="205">
        <f t="shared" si="22"/>
        <v>780.68000000000029</v>
      </c>
      <c r="E18" s="205">
        <f t="shared" si="22"/>
        <v>1407.0800000000017</v>
      </c>
      <c r="F18" s="205">
        <f t="shared" si="22"/>
        <v>3296.9499999999971</v>
      </c>
      <c r="G18" s="205">
        <f t="shared" si="22"/>
        <v>5973.6648480730419</v>
      </c>
      <c r="H18" s="205">
        <f t="shared" si="22"/>
        <v>5204.5348480730427</v>
      </c>
      <c r="I18" s="205">
        <f t="shared" si="22"/>
        <v>6603.5148480730495</v>
      </c>
      <c r="J18" s="205">
        <f t="shared" si="22"/>
        <v>5230.2158274628891</v>
      </c>
      <c r="K18" s="205">
        <f t="shared" si="22"/>
        <v>5981.7170950894797</v>
      </c>
      <c r="L18" s="205">
        <f t="shared" si="22"/>
        <v>4954.4651789438794</v>
      </c>
      <c r="M18" s="205">
        <f t="shared" si="22"/>
        <v>9802.9752628402493</v>
      </c>
      <c r="N18" s="205">
        <f t="shared" si="22"/>
        <v>11705.453014343759</v>
      </c>
      <c r="O18" s="205">
        <f t="shared" si="22"/>
        <v>11168.161228290031</v>
      </c>
      <c r="P18" s="435">
        <f t="shared" si="22"/>
        <v>14101.514978151172</v>
      </c>
      <c r="Q18" s="205">
        <f t="shared" si="22"/>
        <v>17232.285112245721</v>
      </c>
      <c r="R18" s="205">
        <f t="shared" si="22"/>
        <v>20899.361653673011</v>
      </c>
      <c r="S18" s="205">
        <f t="shared" si="22"/>
        <v>18461.0096195488</v>
      </c>
      <c r="T18" s="205">
        <f t="shared" si="22"/>
        <v>17583.59436270631</v>
      </c>
      <c r="U18" s="205">
        <f t="shared" si="22"/>
        <v>23139.167269598169</v>
      </c>
      <c r="V18" s="205">
        <f t="shared" si="22"/>
        <v>13349.820171000043</v>
      </c>
      <c r="W18" s="205">
        <f t="shared" si="22"/>
        <v>18915.026663962562</v>
      </c>
      <c r="X18" s="205">
        <f t="shared" si="22"/>
        <v>26025.862505833924</v>
      </c>
      <c r="Y18" s="205">
        <f t="shared" si="22"/>
        <v>20885.881640735461</v>
      </c>
      <c r="Z18" s="205">
        <f t="shared" si="22"/>
        <v>14540.707560640643</v>
      </c>
      <c r="AA18" s="205">
        <f t="shared" si="22"/>
        <v>18665.996745851153</v>
      </c>
      <c r="AB18" s="205">
        <f t="shared" si="22"/>
        <v>21686.903645545797</v>
      </c>
      <c r="AC18" s="205">
        <f t="shared" si="22"/>
        <v>23910.794231659413</v>
      </c>
      <c r="AD18" s="205">
        <f t="shared" si="22"/>
        <v>21284.833172693412</v>
      </c>
      <c r="AE18" s="205">
        <f t="shared" si="22"/>
        <v>14952.758102314692</v>
      </c>
      <c r="AF18" s="205">
        <f t="shared" si="22"/>
        <v>20871.191805677779</v>
      </c>
      <c r="AG18" s="371">
        <f t="shared" si="22"/>
        <v>26231.499309534753</v>
      </c>
      <c r="AH18" s="435">
        <f t="shared" si="22"/>
        <v>32263.474742352955</v>
      </c>
      <c r="AI18" s="205">
        <f t="shared" si="22"/>
        <v>38329.292723049934</v>
      </c>
      <c r="AJ18" s="205">
        <f t="shared" si="22"/>
        <v>40218.436866987686</v>
      </c>
      <c r="AK18" s="205">
        <f t="shared" si="22"/>
        <v>35609.136068346648</v>
      </c>
      <c r="AL18" s="205">
        <f t="shared" si="22"/>
        <v>42106.785422299727</v>
      </c>
      <c r="AM18" s="205">
        <f t="shared" si="22"/>
        <v>48717.27910355803</v>
      </c>
      <c r="AN18" s="205">
        <f t="shared" si="22"/>
        <v>58291.437984194461</v>
      </c>
      <c r="AO18" s="205">
        <f t="shared" si="22"/>
        <v>66912.075841735961</v>
      </c>
      <c r="AP18" s="435">
        <f t="shared" si="22"/>
        <v>63285.930437873685</v>
      </c>
      <c r="AQ18" s="205">
        <f t="shared" si="22"/>
        <v>68477.577339436175</v>
      </c>
      <c r="AR18" s="205">
        <f t="shared" si="22"/>
        <v>73872.260426236549</v>
      </c>
      <c r="AS18" s="205">
        <f t="shared" si="22"/>
        <v>90133.415262322495</v>
      </c>
      <c r="AT18" s="205">
        <f t="shared" si="22"/>
        <v>87546.169572835468</v>
      </c>
      <c r="AU18" s="205">
        <f t="shared" si="22"/>
        <v>88978.728422134824</v>
      </c>
      <c r="AV18" s="205">
        <f t="shared" si="22"/>
        <v>92597.488989205391</v>
      </c>
      <c r="AW18" s="205">
        <f t="shared" si="22"/>
        <v>107661.84458442828</v>
      </c>
      <c r="AX18" s="205">
        <f t="shared" si="22"/>
        <v>108907.28733968199</v>
      </c>
      <c r="AY18" s="205">
        <f t="shared" si="22"/>
        <v>115551.59943178725</v>
      </c>
      <c r="AZ18" s="205">
        <f t="shared" si="22"/>
        <v>123791.77943178725</v>
      </c>
      <c r="BA18" s="205">
        <f t="shared" si="22"/>
        <v>128217.07943178724</v>
      </c>
      <c r="BB18" s="428">
        <f t="shared" si="22"/>
        <v>137054.77943178726</v>
      </c>
      <c r="BC18" s="205">
        <f t="shared" si="22"/>
        <v>140028.70943178725</v>
      </c>
      <c r="BD18" s="205">
        <f t="shared" si="22"/>
        <v>127874.76943178725</v>
      </c>
      <c r="BE18" s="205">
        <f t="shared" si="22"/>
        <v>137433.89943178726</v>
      </c>
      <c r="BF18" s="205">
        <f t="shared" si="22"/>
        <v>138645.87334087817</v>
      </c>
      <c r="BG18" s="205">
        <f t="shared" si="22"/>
        <v>144692.5688492115</v>
      </c>
      <c r="BH18" s="205">
        <f t="shared" si="22"/>
        <v>142185.10884921151</v>
      </c>
      <c r="BI18" s="205">
        <f t="shared" si="22"/>
        <v>144512.98884921151</v>
      </c>
      <c r="BJ18" s="205">
        <f t="shared" si="22"/>
        <v>147586.72344012058</v>
      </c>
      <c r="BK18" s="205">
        <f t="shared" si="22"/>
        <v>156288.08940820571</v>
      </c>
      <c r="BL18" s="205">
        <f t="shared" si="22"/>
        <v>156066.2694082057</v>
      </c>
      <c r="BM18" s="205">
        <f t="shared" si="22"/>
        <v>156886.7994082057</v>
      </c>
      <c r="BN18" s="428">
        <f t="shared" si="22"/>
        <v>156953.55940820571</v>
      </c>
      <c r="BO18" s="205">
        <f t="shared" si="22"/>
        <v>146350.47940820569</v>
      </c>
      <c r="BP18" s="205">
        <f t="shared" si="22"/>
        <v>143737.75940820569</v>
      </c>
      <c r="BQ18" s="205">
        <f t="shared" si="22"/>
        <v>151602.94885162674</v>
      </c>
      <c r="BR18" s="205">
        <f t="shared" si="22"/>
        <v>152605.26885162675</v>
      </c>
      <c r="BS18" s="205">
        <f t="shared" si="22"/>
        <v>146104.04885162675</v>
      </c>
      <c r="BT18" s="205">
        <f t="shared" si="22"/>
        <v>146104.04885162675</v>
      </c>
      <c r="BU18" s="205">
        <f t="shared" si="22"/>
        <v>143114.46885162673</v>
      </c>
      <c r="BV18" s="205">
        <f t="shared" si="22"/>
        <v>131437.59885162674</v>
      </c>
      <c r="BW18" s="205">
        <f t="shared" si="22"/>
        <v>156946.06515162677</v>
      </c>
      <c r="BX18" s="435">
        <f t="shared" si="22"/>
        <v>170881.22515162674</v>
      </c>
      <c r="BY18" s="205">
        <f t="shared" si="22"/>
        <v>189040.84515162674</v>
      </c>
      <c r="BZ18" s="205">
        <f t="shared" si="22"/>
        <v>172917.74098496011</v>
      </c>
      <c r="CA18" s="205">
        <f t="shared" si="22"/>
        <v>140369.57698496009</v>
      </c>
      <c r="CB18" s="205">
        <f t="shared" si="22"/>
        <v>160975.9969849601</v>
      </c>
      <c r="CC18" s="205">
        <f t="shared" si="22"/>
        <v>180503.9569849601</v>
      </c>
      <c r="CD18" s="205">
        <f t="shared" ref="CD18:CM18" si="23">+CD17+CD14</f>
        <v>171117.27698496013</v>
      </c>
      <c r="CE18" s="205">
        <f t="shared" si="23"/>
        <v>181295.7469849601</v>
      </c>
      <c r="CF18" s="205">
        <f t="shared" si="23"/>
        <v>190208.58698496013</v>
      </c>
      <c r="CG18" s="205">
        <f t="shared" si="23"/>
        <v>192418.33698496013</v>
      </c>
      <c r="CH18" s="205">
        <f t="shared" si="23"/>
        <v>177482.94823496006</v>
      </c>
      <c r="CI18" s="435">
        <f t="shared" si="23"/>
        <v>186432.28698496005</v>
      </c>
      <c r="CJ18" s="205">
        <f t="shared" si="23"/>
        <v>199521.47198496014</v>
      </c>
      <c r="CK18" s="205">
        <f t="shared" si="23"/>
        <v>183568.57183333335</v>
      </c>
      <c r="CL18" s="205">
        <f t="shared" si="23"/>
        <v>194455.83683333336</v>
      </c>
      <c r="CM18" s="205">
        <f t="shared" si="23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</row>
    <row r="19" spans="1:94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4">+BY18-$BX18</f>
        <v>18159.619999999995</v>
      </c>
      <c r="BZ19" s="60">
        <f t="shared" si="24"/>
        <v>2036.5158333333675</v>
      </c>
      <c r="CA19" s="12">
        <f t="shared" si="24"/>
        <v>-30511.648166666651</v>
      </c>
      <c r="CB19" s="12">
        <f t="shared" si="24"/>
        <v>-9905.2281666666386</v>
      </c>
      <c r="CC19" s="12">
        <f t="shared" si="24"/>
        <v>9622.7318333333533</v>
      </c>
      <c r="CD19" s="12">
        <f t="shared" si="24"/>
        <v>236.05183333338937</v>
      </c>
      <c r="CE19" s="12">
        <f t="shared" si="24"/>
        <v>10414.521833333361</v>
      </c>
      <c r="CF19" s="12">
        <f t="shared" si="24"/>
        <v>19327.361833333387</v>
      </c>
      <c r="CG19" s="12">
        <f t="shared" si="24"/>
        <v>21537.111833333387</v>
      </c>
      <c r="CH19" s="12">
        <f t="shared" si="24"/>
        <v>6601.723083333316</v>
      </c>
      <c r="CI19" s="6">
        <f t="shared" si="24"/>
        <v>15551.061833333311</v>
      </c>
      <c r="CJ19" s="60">
        <f t="shared" ref="CJ19:CO19" si="25">+CJ18-$CI18</f>
        <v>13089.185000000085</v>
      </c>
      <c r="CK19" s="60">
        <f t="shared" si="25"/>
        <v>-2863.715151626704</v>
      </c>
      <c r="CL19" s="60">
        <f t="shared" si="25"/>
        <v>8023.5498483733099</v>
      </c>
      <c r="CM19" s="60">
        <f t="shared" si="25"/>
        <v>13717.514848373306</v>
      </c>
      <c r="CN19" s="60">
        <f t="shared" si="25"/>
        <v>2894.3698483732878</v>
      </c>
      <c r="CO19" s="60">
        <v>-8587.7661516266235</v>
      </c>
      <c r="CP19" s="60">
        <f t="shared" ref="CP19" si="26">+CP18-$CI18</f>
        <v>-12619.186151626665</v>
      </c>
    </row>
    <row r="20" spans="1:94" ht="13.15" customHeight="1">
      <c r="A20" s="104" t="s">
        <v>172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</row>
    <row r="21" spans="1:94">
      <c r="A21" s="195">
        <f>+Otros!E12</f>
        <v>6000</v>
      </c>
      <c r="B21" s="199" t="s">
        <v>173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</row>
    <row r="22" spans="1:94">
      <c r="A22" s="4"/>
      <c r="B22" s="200" t="s">
        <v>155</v>
      </c>
      <c r="C22" s="210"/>
      <c r="D22" s="210">
        <f t="shared" ref="D22:Q22" si="27">+D8-D21</f>
        <v>0</v>
      </c>
      <c r="E22" s="210">
        <f t="shared" si="27"/>
        <v>0</v>
      </c>
      <c r="F22" s="210">
        <f t="shared" si="27"/>
        <v>0</v>
      </c>
      <c r="G22" s="210">
        <f t="shared" si="27"/>
        <v>0</v>
      </c>
      <c r="H22" s="210">
        <f t="shared" si="27"/>
        <v>0</v>
      </c>
      <c r="I22" s="210">
        <f t="shared" si="27"/>
        <v>0</v>
      </c>
      <c r="J22" s="210">
        <f t="shared" si="27"/>
        <v>0</v>
      </c>
      <c r="K22" s="210">
        <f t="shared" si="27"/>
        <v>0</v>
      </c>
      <c r="L22" s="210">
        <f t="shared" si="27"/>
        <v>0</v>
      </c>
      <c r="M22" s="210">
        <f t="shared" si="27"/>
        <v>0</v>
      </c>
      <c r="N22" s="210">
        <f t="shared" si="27"/>
        <v>0</v>
      </c>
      <c r="O22" s="210">
        <f t="shared" si="27"/>
        <v>0</v>
      </c>
      <c r="P22" s="432">
        <f t="shared" si="27"/>
        <v>0</v>
      </c>
      <c r="Q22" s="210">
        <f t="shared" si="27"/>
        <v>0</v>
      </c>
      <c r="R22" s="210">
        <f t="shared" ref="R22:CC22" si="28">+R8-R21</f>
        <v>-281.25</v>
      </c>
      <c r="S22" s="210">
        <f t="shared" si="28"/>
        <v>-17.419354838710206</v>
      </c>
      <c r="T22" s="210">
        <f t="shared" si="28"/>
        <v>-17.419354838710206</v>
      </c>
      <c r="U22" s="210">
        <f t="shared" si="28"/>
        <v>-51.0024057738583</v>
      </c>
      <c r="V22" s="210">
        <f t="shared" si="28"/>
        <v>-51.0024057738583</v>
      </c>
      <c r="W22" s="210">
        <f t="shared" si="28"/>
        <v>80.655737704917556</v>
      </c>
      <c r="X22" s="210">
        <f t="shared" si="28"/>
        <v>80.655737704917556</v>
      </c>
      <c r="Y22" s="210">
        <f t="shared" si="28"/>
        <v>182</v>
      </c>
      <c r="Z22" s="210">
        <f t="shared" si="28"/>
        <v>182</v>
      </c>
      <c r="AA22" s="210">
        <f t="shared" si="28"/>
        <v>182</v>
      </c>
      <c r="AB22" s="210">
        <f t="shared" si="28"/>
        <v>182</v>
      </c>
      <c r="AC22" s="210">
        <f t="shared" si="28"/>
        <v>182</v>
      </c>
      <c r="AD22" s="210">
        <f t="shared" si="28"/>
        <v>182</v>
      </c>
      <c r="AE22" s="210">
        <f t="shared" si="28"/>
        <v>182</v>
      </c>
      <c r="AF22" s="210">
        <f t="shared" si="28"/>
        <v>182</v>
      </c>
      <c r="AG22" s="367">
        <f t="shared" si="28"/>
        <v>182</v>
      </c>
      <c r="AH22" s="432">
        <f t="shared" si="28"/>
        <v>-249.30232558139596</v>
      </c>
      <c r="AI22" s="210">
        <f t="shared" si="28"/>
        <v>-474.50381679389466</v>
      </c>
      <c r="AJ22" s="210">
        <f t="shared" si="28"/>
        <v>-474.50381679389466</v>
      </c>
      <c r="AK22" s="210">
        <f t="shared" si="28"/>
        <v>-109.76744186046562</v>
      </c>
      <c r="AL22" s="210">
        <f t="shared" si="28"/>
        <v>1260.9836065573763</v>
      </c>
      <c r="AM22" s="210">
        <f t="shared" si="28"/>
        <v>1260.9836065573763</v>
      </c>
      <c r="AN22" s="210">
        <f t="shared" si="28"/>
        <v>654.72000000000116</v>
      </c>
      <c r="AO22" s="210">
        <f t="shared" si="28"/>
        <v>1628.6070686070707</v>
      </c>
      <c r="AP22" s="432">
        <f t="shared" si="28"/>
        <v>2117.2881355932223</v>
      </c>
      <c r="AQ22" s="210">
        <f t="shared" si="28"/>
        <v>1469.7520661157032</v>
      </c>
      <c r="AR22" s="210">
        <f t="shared" si="28"/>
        <v>1469.7520661157032</v>
      </c>
      <c r="AS22" s="210">
        <f t="shared" si="28"/>
        <v>1897.8151260504201</v>
      </c>
      <c r="AT22" s="210">
        <f t="shared" si="28"/>
        <v>459.04761904761835</v>
      </c>
      <c r="AU22" s="210">
        <f t="shared" si="28"/>
        <v>459.04761904761835</v>
      </c>
      <c r="AV22" s="210">
        <f t="shared" si="28"/>
        <v>459.04761904761835</v>
      </c>
      <c r="AW22" s="210">
        <f t="shared" si="28"/>
        <v>459.04761904761835</v>
      </c>
      <c r="AX22" s="210">
        <f t="shared" si="28"/>
        <v>266.45669291338709</v>
      </c>
      <c r="AY22" s="210">
        <f t="shared" si="28"/>
        <v>459.04761904761835</v>
      </c>
      <c r="AZ22" s="210">
        <f t="shared" si="28"/>
        <v>76.875</v>
      </c>
      <c r="BA22" s="210">
        <f t="shared" si="28"/>
        <v>-204.375</v>
      </c>
      <c r="BB22" s="424">
        <f t="shared" si="28"/>
        <v>-204.375</v>
      </c>
      <c r="BC22" s="210">
        <f t="shared" si="28"/>
        <v>-204.375</v>
      </c>
      <c r="BD22" s="210">
        <f t="shared" si="28"/>
        <v>-204.375</v>
      </c>
      <c r="BE22" s="210">
        <f t="shared" si="28"/>
        <v>-793.41514516611642</v>
      </c>
      <c r="BF22" s="210">
        <f t="shared" si="28"/>
        <v>-1383.9905826957038</v>
      </c>
      <c r="BG22" s="210">
        <f t="shared" si="28"/>
        <v>-1001.8888888888905</v>
      </c>
      <c r="BH22" s="210">
        <f t="shared" si="28"/>
        <v>-1342.8888888888905</v>
      </c>
      <c r="BI22" s="210">
        <f t="shared" si="28"/>
        <v>-1137.8888888888905</v>
      </c>
      <c r="BJ22" s="210">
        <f t="shared" si="28"/>
        <v>-1617.2941176470631</v>
      </c>
      <c r="BK22" s="210">
        <f t="shared" si="28"/>
        <v>-2770.7234042553173</v>
      </c>
      <c r="BL22" s="210">
        <f t="shared" si="28"/>
        <v>-3862.3333333333321</v>
      </c>
      <c r="BM22" s="210">
        <f t="shared" si="28"/>
        <v>-3618.3333333333321</v>
      </c>
      <c r="BN22" s="424">
        <f t="shared" si="28"/>
        <v>-3985.5675675675666</v>
      </c>
      <c r="BO22" s="210">
        <f t="shared" si="28"/>
        <v>-3972.5675675675666</v>
      </c>
      <c r="BP22" s="210">
        <f t="shared" si="28"/>
        <v>-4104.4736842105267</v>
      </c>
      <c r="BQ22" s="210">
        <f t="shared" si="28"/>
        <v>-1119.4736842105267</v>
      </c>
      <c r="BR22" s="210">
        <f t="shared" si="28"/>
        <v>-1119.4736842105267</v>
      </c>
      <c r="BS22" s="210">
        <f t="shared" si="28"/>
        <v>-1119.4736842105267</v>
      </c>
      <c r="BT22" s="210">
        <f t="shared" si="28"/>
        <v>-1119.4736842105267</v>
      </c>
      <c r="BU22" s="210">
        <f t="shared" si="28"/>
        <v>-1119.4736842105267</v>
      </c>
      <c r="BV22" s="210">
        <f t="shared" si="28"/>
        <v>-1119.4736842105267</v>
      </c>
      <c r="BW22" s="210">
        <f t="shared" si="28"/>
        <v>-1119.4736842105267</v>
      </c>
      <c r="BX22" s="432">
        <f t="shared" si="28"/>
        <v>-293.53846153846189</v>
      </c>
      <c r="BY22" s="210">
        <f t="shared" si="28"/>
        <v>-293.53846153846189</v>
      </c>
      <c r="BZ22" s="210">
        <f t="shared" si="28"/>
        <v>-293.53846153846189</v>
      </c>
      <c r="CA22" s="210">
        <f t="shared" si="28"/>
        <v>-293.53846153846189</v>
      </c>
      <c r="CB22" s="210">
        <f t="shared" si="28"/>
        <v>-293.53846153846189</v>
      </c>
      <c r="CC22" s="210">
        <f t="shared" si="28"/>
        <v>-293.53846153846189</v>
      </c>
      <c r="CD22" s="210">
        <f t="shared" ref="CD22:CM22" si="29">+CD8-CD21</f>
        <v>-701.14285714285688</v>
      </c>
      <c r="CE22" s="210">
        <f t="shared" si="29"/>
        <v>-701.14285714285688</v>
      </c>
      <c r="CF22" s="210">
        <f t="shared" si="29"/>
        <v>-848.33333333333303</v>
      </c>
      <c r="CG22" s="210">
        <f t="shared" si="29"/>
        <v>-848.33333333333303</v>
      </c>
      <c r="CH22" s="210">
        <f t="shared" si="29"/>
        <v>-848.33333333333303</v>
      </c>
      <c r="CI22" s="432">
        <f t="shared" si="29"/>
        <v>-1119.4736842105267</v>
      </c>
      <c r="CJ22" s="210">
        <f t="shared" si="29"/>
        <v>-1119.4736842105267</v>
      </c>
      <c r="CK22" s="210">
        <f t="shared" si="29"/>
        <v>-701.14285714285688</v>
      </c>
      <c r="CL22" s="210">
        <f t="shared" si="29"/>
        <v>-701.14285714285688</v>
      </c>
      <c r="CM22" s="210">
        <f t="shared" si="29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</row>
    <row r="23" spans="1:94">
      <c r="A23" s="4"/>
      <c r="B23" s="200" t="s">
        <v>152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0">+R22/R21</f>
        <v>-4.6875E-2</v>
      </c>
      <c r="S23" s="58">
        <f t="shared" si="30"/>
        <v>-2.9032258064517007E-3</v>
      </c>
      <c r="T23" s="58">
        <f t="shared" si="30"/>
        <v>-2.9032258064517007E-3</v>
      </c>
      <c r="U23" s="58">
        <f t="shared" si="30"/>
        <v>-8.5004009623097163E-3</v>
      </c>
      <c r="V23" s="58">
        <f t="shared" si="30"/>
        <v>-8.5004009623097163E-3</v>
      </c>
      <c r="W23" s="58">
        <f t="shared" si="30"/>
        <v>1.3442622950819593E-2</v>
      </c>
      <c r="X23" s="58">
        <f t="shared" si="30"/>
        <v>1.3442622950819593E-2</v>
      </c>
      <c r="Y23" s="58">
        <f t="shared" si="30"/>
        <v>3.0333333333333334E-2</v>
      </c>
      <c r="Z23" s="58">
        <f t="shared" si="30"/>
        <v>3.0333333333333334E-2</v>
      </c>
      <c r="AA23" s="58">
        <f t="shared" si="30"/>
        <v>3.0333333333333334E-2</v>
      </c>
      <c r="AB23" s="58">
        <f t="shared" si="30"/>
        <v>3.0333333333333334E-2</v>
      </c>
      <c r="AC23" s="58">
        <f t="shared" si="30"/>
        <v>3.0333333333333334E-2</v>
      </c>
      <c r="AD23" s="58">
        <f t="shared" si="30"/>
        <v>3.0333333333333334E-2</v>
      </c>
      <c r="AE23" s="58">
        <f t="shared" si="30"/>
        <v>3.0333333333333334E-2</v>
      </c>
      <c r="AF23" s="58">
        <f t="shared" si="30"/>
        <v>3.0333333333333334E-2</v>
      </c>
      <c r="AG23" s="368">
        <f t="shared" si="30"/>
        <v>3.0333333333333334E-2</v>
      </c>
      <c r="AH23" s="7">
        <f t="shared" si="30"/>
        <v>-4.155038759689933E-2</v>
      </c>
      <c r="AI23" s="58">
        <f t="shared" si="30"/>
        <v>-1.9770992366412277E-2</v>
      </c>
      <c r="AJ23" s="58">
        <f t="shared" si="30"/>
        <v>-1.9770992366412277E-2</v>
      </c>
      <c r="AK23" s="58">
        <f t="shared" si="30"/>
        <v>-4.5736434108527343E-3</v>
      </c>
      <c r="AL23" s="58">
        <f t="shared" si="30"/>
        <v>5.2540983606557345E-2</v>
      </c>
      <c r="AM23" s="58">
        <f t="shared" si="30"/>
        <v>5.2540983606557345E-2</v>
      </c>
      <c r="AN23" s="58">
        <f t="shared" si="30"/>
        <v>2.7280000000000047E-2</v>
      </c>
      <c r="AO23" s="58">
        <f t="shared" si="30"/>
        <v>6.7858627858627951E-2</v>
      </c>
      <c r="AP23" s="7">
        <f t="shared" si="30"/>
        <v>8.8220338983050928E-2</v>
      </c>
      <c r="AQ23" s="58">
        <f t="shared" si="30"/>
        <v>6.1239669421487633E-2</v>
      </c>
      <c r="AR23" s="58">
        <f t="shared" si="30"/>
        <v>6.1239669421487633E-2</v>
      </c>
      <c r="AS23" s="58">
        <f t="shared" si="30"/>
        <v>7.9075630252100834E-2</v>
      </c>
      <c r="AT23" s="58">
        <f t="shared" si="30"/>
        <v>1.9126984126984097E-2</v>
      </c>
      <c r="AU23" s="58">
        <f t="shared" si="30"/>
        <v>1.9126984126984097E-2</v>
      </c>
      <c r="AV23" s="58">
        <f t="shared" si="30"/>
        <v>1.9126984126984097E-2</v>
      </c>
      <c r="AW23" s="58">
        <f t="shared" si="30"/>
        <v>1.9126984126984097E-2</v>
      </c>
      <c r="AX23" s="58">
        <f t="shared" si="30"/>
        <v>1.1102362204724462E-2</v>
      </c>
      <c r="AY23" s="58">
        <f t="shared" si="30"/>
        <v>1.9126984126984097E-2</v>
      </c>
      <c r="AZ23" s="58">
        <f t="shared" si="30"/>
        <v>3.2031249999999998E-3</v>
      </c>
      <c r="BA23" s="58">
        <f t="shared" si="30"/>
        <v>-3.4062500000000002E-2</v>
      </c>
      <c r="BB23" s="425">
        <f t="shared" si="30"/>
        <v>-3.4062500000000002E-2</v>
      </c>
      <c r="BC23" s="58">
        <f t="shared" si="30"/>
        <v>-3.4062500000000002E-2</v>
      </c>
      <c r="BD23" s="58">
        <f t="shared" si="30"/>
        <v>-3.4062500000000002E-2</v>
      </c>
      <c r="BE23" s="58">
        <f t="shared" si="30"/>
        <v>-2.2039309587947677E-2</v>
      </c>
      <c r="BF23" s="58">
        <f t="shared" si="30"/>
        <v>-3.8444182852658437E-2</v>
      </c>
      <c r="BG23" s="58">
        <f t="shared" si="30"/>
        <v>-2.7830246913580291E-2</v>
      </c>
      <c r="BH23" s="58">
        <f t="shared" si="30"/>
        <v>-3.7302469135802513E-2</v>
      </c>
      <c r="BI23" s="58">
        <f t="shared" si="30"/>
        <v>-3.1608024691358066E-2</v>
      </c>
      <c r="BJ23" s="58">
        <f t="shared" si="30"/>
        <v>-4.4924836601307305E-2</v>
      </c>
      <c r="BK23" s="58">
        <f t="shared" si="30"/>
        <v>-7.6964539007092145E-2</v>
      </c>
      <c r="BL23" s="58">
        <f t="shared" si="30"/>
        <v>-0.107287037037037</v>
      </c>
      <c r="BM23" s="58">
        <f t="shared" si="30"/>
        <v>-0.10050925925925923</v>
      </c>
      <c r="BN23" s="425">
        <f t="shared" si="30"/>
        <v>-0.11071021021021019</v>
      </c>
      <c r="BO23" s="58">
        <f t="shared" si="30"/>
        <v>-0.11034909909909907</v>
      </c>
      <c r="BP23" s="58">
        <f t="shared" si="30"/>
        <v>-0.11401315789473686</v>
      </c>
      <c r="BQ23" s="58">
        <f t="shared" si="30"/>
        <v>-0.18657894736842112</v>
      </c>
      <c r="BR23" s="58">
        <f t="shared" si="30"/>
        <v>-0.18657894736842112</v>
      </c>
      <c r="BS23" s="58">
        <f t="shared" si="30"/>
        <v>-0.18657894736842112</v>
      </c>
      <c r="BT23" s="58">
        <f t="shared" si="30"/>
        <v>-0.18657894736842112</v>
      </c>
      <c r="BU23" s="58">
        <f t="shared" si="30"/>
        <v>-0.18657894736842112</v>
      </c>
      <c r="BV23" s="58">
        <f t="shared" si="30"/>
        <v>-0.18657894736842112</v>
      </c>
      <c r="BW23" s="58">
        <f t="shared" si="30"/>
        <v>-0.18657894736842112</v>
      </c>
      <c r="BX23" s="7">
        <f t="shared" si="30"/>
        <v>-4.8923076923076979E-2</v>
      </c>
      <c r="BY23" s="58">
        <f t="shared" si="30"/>
        <v>-4.8923076923076979E-2</v>
      </c>
      <c r="BZ23" s="58">
        <f t="shared" si="30"/>
        <v>-4.8923076923076979E-2</v>
      </c>
      <c r="CA23" s="58">
        <f t="shared" si="30"/>
        <v>-4.8923076923076979E-2</v>
      </c>
      <c r="CB23" s="58">
        <f t="shared" si="30"/>
        <v>-4.8923076923076979E-2</v>
      </c>
      <c r="CC23" s="58">
        <f t="shared" si="30"/>
        <v>-4.8923076923076979E-2</v>
      </c>
      <c r="CD23" s="58">
        <f t="shared" ref="CD23:CM23" si="31">+CD22/CD21</f>
        <v>-0.11685714285714281</v>
      </c>
      <c r="CE23" s="58">
        <f t="shared" si="31"/>
        <v>-0.11685714285714281</v>
      </c>
      <c r="CF23" s="58">
        <f t="shared" si="31"/>
        <v>-0.14138888888888884</v>
      </c>
      <c r="CG23" s="58">
        <f t="shared" si="31"/>
        <v>-0.14138888888888884</v>
      </c>
      <c r="CH23" s="58">
        <f t="shared" si="31"/>
        <v>-0.14138888888888884</v>
      </c>
      <c r="CI23" s="7">
        <f t="shared" si="31"/>
        <v>-0.18657894736842112</v>
      </c>
      <c r="CJ23" s="58">
        <f t="shared" si="31"/>
        <v>-0.18657894736842112</v>
      </c>
      <c r="CK23" s="58">
        <f t="shared" si="31"/>
        <v>-0.11685714285714281</v>
      </c>
      <c r="CL23" s="58">
        <f t="shared" si="31"/>
        <v>-0.11685714285714281</v>
      </c>
      <c r="CM23" s="58">
        <f t="shared" si="31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</row>
    <row r="24" spans="1:94">
      <c r="A24" s="4"/>
      <c r="B24" s="199" t="s">
        <v>149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</row>
    <row r="25" spans="1:94">
      <c r="A25" s="4"/>
      <c r="B25" s="201" t="s">
        <v>150</v>
      </c>
      <c r="C25" s="202"/>
      <c r="D25" s="202">
        <f t="shared" ref="D25:CP25" si="32">+D24+C25</f>
        <v>0</v>
      </c>
      <c r="E25" s="202">
        <f t="shared" si="32"/>
        <v>0</v>
      </c>
      <c r="F25" s="202">
        <f t="shared" si="32"/>
        <v>0</v>
      </c>
      <c r="G25" s="202">
        <f t="shared" si="32"/>
        <v>0</v>
      </c>
      <c r="H25" s="202">
        <f t="shared" si="32"/>
        <v>0</v>
      </c>
      <c r="I25" s="202">
        <f t="shared" si="32"/>
        <v>0</v>
      </c>
      <c r="J25" s="202">
        <f t="shared" si="32"/>
        <v>0</v>
      </c>
      <c r="K25" s="202">
        <f t="shared" si="32"/>
        <v>0</v>
      </c>
      <c r="L25" s="202">
        <f t="shared" si="32"/>
        <v>0</v>
      </c>
      <c r="M25" s="202">
        <f t="shared" si="32"/>
        <v>0</v>
      </c>
      <c r="N25" s="202">
        <f t="shared" si="32"/>
        <v>0</v>
      </c>
      <c r="O25" s="202">
        <f t="shared" si="32"/>
        <v>0</v>
      </c>
      <c r="P25" s="434">
        <f t="shared" si="32"/>
        <v>0</v>
      </c>
      <c r="Q25" s="202">
        <f t="shared" si="32"/>
        <v>0</v>
      </c>
      <c r="R25" s="202">
        <f t="shared" si="32"/>
        <v>0</v>
      </c>
      <c r="S25" s="202">
        <f t="shared" si="32"/>
        <v>0</v>
      </c>
      <c r="T25" s="202">
        <f t="shared" si="32"/>
        <v>0</v>
      </c>
      <c r="U25" s="202">
        <f t="shared" si="32"/>
        <v>0</v>
      </c>
      <c r="V25" s="202">
        <f t="shared" si="32"/>
        <v>0</v>
      </c>
      <c r="W25" s="202">
        <f t="shared" si="32"/>
        <v>0</v>
      </c>
      <c r="X25" s="202">
        <f t="shared" si="32"/>
        <v>0</v>
      </c>
      <c r="Y25" s="202">
        <f t="shared" si="32"/>
        <v>0</v>
      </c>
      <c r="Z25" s="202">
        <f t="shared" si="32"/>
        <v>0</v>
      </c>
      <c r="AA25" s="202">
        <f t="shared" si="32"/>
        <v>0</v>
      </c>
      <c r="AB25" s="202">
        <f t="shared" si="32"/>
        <v>0</v>
      </c>
      <c r="AC25" s="202">
        <f t="shared" si="32"/>
        <v>0</v>
      </c>
      <c r="AD25" s="202">
        <f t="shared" si="32"/>
        <v>0</v>
      </c>
      <c r="AE25" s="202">
        <f t="shared" si="32"/>
        <v>0</v>
      </c>
      <c r="AF25" s="202">
        <f t="shared" si="32"/>
        <v>0</v>
      </c>
      <c r="AG25" s="370">
        <f t="shared" si="32"/>
        <v>0</v>
      </c>
      <c r="AH25" s="434">
        <f t="shared" si="32"/>
        <v>0</v>
      </c>
      <c r="AI25" s="202">
        <f t="shared" si="32"/>
        <v>0</v>
      </c>
      <c r="AJ25" s="202">
        <f t="shared" si="32"/>
        <v>0</v>
      </c>
      <c r="AK25" s="202">
        <f t="shared" si="32"/>
        <v>0</v>
      </c>
      <c r="AL25" s="202">
        <f t="shared" si="32"/>
        <v>0</v>
      </c>
      <c r="AM25" s="202">
        <f t="shared" si="32"/>
        <v>0</v>
      </c>
      <c r="AN25" s="202">
        <f t="shared" si="32"/>
        <v>0</v>
      </c>
      <c r="AO25" s="202">
        <f t="shared" si="32"/>
        <v>0</v>
      </c>
      <c r="AP25" s="434">
        <f t="shared" si="32"/>
        <v>0</v>
      </c>
      <c r="AQ25" s="202">
        <f t="shared" si="32"/>
        <v>0</v>
      </c>
      <c r="AR25" s="202">
        <f t="shared" si="32"/>
        <v>0</v>
      </c>
      <c r="AS25" s="202">
        <f t="shared" si="32"/>
        <v>0</v>
      </c>
      <c r="AT25" s="202">
        <f t="shared" si="32"/>
        <v>0</v>
      </c>
      <c r="AU25" s="202">
        <f t="shared" si="32"/>
        <v>0</v>
      </c>
      <c r="AV25" s="202">
        <f t="shared" si="32"/>
        <v>0</v>
      </c>
      <c r="AW25" s="202">
        <f t="shared" si="32"/>
        <v>0</v>
      </c>
      <c r="AX25" s="202">
        <f t="shared" si="32"/>
        <v>0</v>
      </c>
      <c r="AY25" s="202">
        <f t="shared" si="32"/>
        <v>0</v>
      </c>
      <c r="AZ25" s="202">
        <f t="shared" si="32"/>
        <v>0</v>
      </c>
      <c r="BA25" s="202">
        <f t="shared" si="32"/>
        <v>336</v>
      </c>
      <c r="BB25" s="427">
        <f t="shared" si="32"/>
        <v>336</v>
      </c>
      <c r="BC25" s="202">
        <f t="shared" si="32"/>
        <v>336</v>
      </c>
      <c r="BD25" s="202">
        <f t="shared" si="32"/>
        <v>336</v>
      </c>
      <c r="BE25" s="202">
        <f t="shared" si="32"/>
        <v>336</v>
      </c>
      <c r="BF25" s="202">
        <f t="shared" si="32"/>
        <v>336</v>
      </c>
      <c r="BG25" s="202">
        <f t="shared" si="32"/>
        <v>336</v>
      </c>
      <c r="BH25" s="202">
        <f t="shared" si="32"/>
        <v>336</v>
      </c>
      <c r="BI25" s="202">
        <f t="shared" si="32"/>
        <v>336</v>
      </c>
      <c r="BJ25" s="202">
        <f t="shared" si="32"/>
        <v>336</v>
      </c>
      <c r="BK25" s="202">
        <f t="shared" si="32"/>
        <v>336</v>
      </c>
      <c r="BL25" s="202">
        <f t="shared" si="32"/>
        <v>336</v>
      </c>
      <c r="BM25" s="202">
        <f t="shared" si="32"/>
        <v>336</v>
      </c>
      <c r="BN25" s="427">
        <f t="shared" si="32"/>
        <v>336</v>
      </c>
      <c r="BO25" s="202">
        <f t="shared" si="32"/>
        <v>336</v>
      </c>
      <c r="BP25" s="202">
        <f t="shared" si="32"/>
        <v>336</v>
      </c>
      <c r="BQ25" s="202">
        <f t="shared" si="32"/>
        <v>-3060.84</v>
      </c>
      <c r="BR25" s="202">
        <f t="shared" si="32"/>
        <v>-3060.84</v>
      </c>
      <c r="BS25" s="202">
        <f t="shared" si="32"/>
        <v>-3060.84</v>
      </c>
      <c r="BT25" s="202">
        <f t="shared" si="32"/>
        <v>-3060.84</v>
      </c>
      <c r="BU25" s="202">
        <f t="shared" si="32"/>
        <v>-3060.84</v>
      </c>
      <c r="BV25" s="202">
        <f t="shared" si="32"/>
        <v>-3060.84</v>
      </c>
      <c r="BW25" s="202">
        <f t="shared" si="32"/>
        <v>-3060.84</v>
      </c>
      <c r="BX25" s="434">
        <f t="shared" si="32"/>
        <v>-3060.84</v>
      </c>
      <c r="BY25" s="202">
        <f t="shared" si="32"/>
        <v>-3060.84</v>
      </c>
      <c r="BZ25" s="202">
        <f t="shared" si="32"/>
        <v>-3060.84</v>
      </c>
      <c r="CA25" s="202">
        <f t="shared" si="32"/>
        <v>-3060.84</v>
      </c>
      <c r="CB25" s="202">
        <f t="shared" si="32"/>
        <v>-3060.84</v>
      </c>
      <c r="CC25" s="202">
        <f t="shared" si="32"/>
        <v>-3060.84</v>
      </c>
      <c r="CD25" s="202">
        <f t="shared" si="32"/>
        <v>-3060.84</v>
      </c>
      <c r="CE25" s="202">
        <f t="shared" si="32"/>
        <v>-3060.84</v>
      </c>
      <c r="CF25" s="202">
        <f t="shared" si="32"/>
        <v>-3060.84</v>
      </c>
      <c r="CG25" s="202">
        <f t="shared" si="32"/>
        <v>-3060.84</v>
      </c>
      <c r="CH25" s="202">
        <f t="shared" si="32"/>
        <v>-3060.84</v>
      </c>
      <c r="CI25" s="434">
        <f t="shared" si="32"/>
        <v>-3060.84</v>
      </c>
      <c r="CJ25" s="202">
        <f t="shared" si="32"/>
        <v>-3060.84</v>
      </c>
      <c r="CK25" s="202">
        <f t="shared" si="32"/>
        <v>-3060.84</v>
      </c>
      <c r="CL25" s="202">
        <f t="shared" si="32"/>
        <v>-3060.84</v>
      </c>
      <c r="CM25" s="202">
        <f t="shared" si="32"/>
        <v>-3060.84</v>
      </c>
      <c r="CN25" s="202">
        <f t="shared" si="32"/>
        <v>-3060.84</v>
      </c>
      <c r="CO25" s="202">
        <v>-3060.84</v>
      </c>
      <c r="CP25" s="202">
        <f t="shared" si="32"/>
        <v>-3060.84</v>
      </c>
    </row>
    <row r="26" spans="1:94">
      <c r="A26" s="4"/>
      <c r="B26" s="204" t="s">
        <v>151</v>
      </c>
      <c r="C26" s="205"/>
      <c r="D26" s="205">
        <f t="shared" ref="D26:CC26" si="33">+D25+D22</f>
        <v>0</v>
      </c>
      <c r="E26" s="205">
        <f t="shared" si="33"/>
        <v>0</v>
      </c>
      <c r="F26" s="205">
        <f t="shared" si="33"/>
        <v>0</v>
      </c>
      <c r="G26" s="205">
        <f t="shared" si="33"/>
        <v>0</v>
      </c>
      <c r="H26" s="205">
        <f t="shared" si="33"/>
        <v>0</v>
      </c>
      <c r="I26" s="205">
        <f t="shared" si="33"/>
        <v>0</v>
      </c>
      <c r="J26" s="205">
        <f t="shared" si="33"/>
        <v>0</v>
      </c>
      <c r="K26" s="205">
        <f t="shared" si="33"/>
        <v>0</v>
      </c>
      <c r="L26" s="205">
        <f t="shared" si="33"/>
        <v>0</v>
      </c>
      <c r="M26" s="205">
        <f t="shared" si="33"/>
        <v>0</v>
      </c>
      <c r="N26" s="205">
        <f t="shared" si="33"/>
        <v>0</v>
      </c>
      <c r="O26" s="205">
        <f t="shared" si="33"/>
        <v>0</v>
      </c>
      <c r="P26" s="435">
        <f t="shared" si="33"/>
        <v>0</v>
      </c>
      <c r="Q26" s="205">
        <f t="shared" si="33"/>
        <v>0</v>
      </c>
      <c r="R26" s="205">
        <f t="shared" si="33"/>
        <v>-281.25</v>
      </c>
      <c r="S26" s="205">
        <f t="shared" si="33"/>
        <v>-17.419354838710206</v>
      </c>
      <c r="T26" s="205">
        <f t="shared" si="33"/>
        <v>-17.419354838710206</v>
      </c>
      <c r="U26" s="205">
        <f t="shared" si="33"/>
        <v>-51.0024057738583</v>
      </c>
      <c r="V26" s="205">
        <f t="shared" si="33"/>
        <v>-51.0024057738583</v>
      </c>
      <c r="W26" s="205">
        <f t="shared" si="33"/>
        <v>80.655737704917556</v>
      </c>
      <c r="X26" s="205">
        <f t="shared" si="33"/>
        <v>80.655737704917556</v>
      </c>
      <c r="Y26" s="205">
        <f t="shared" si="33"/>
        <v>182</v>
      </c>
      <c r="Z26" s="205">
        <f t="shared" si="33"/>
        <v>182</v>
      </c>
      <c r="AA26" s="205">
        <f t="shared" si="33"/>
        <v>182</v>
      </c>
      <c r="AB26" s="205">
        <f t="shared" si="33"/>
        <v>182</v>
      </c>
      <c r="AC26" s="205">
        <f t="shared" si="33"/>
        <v>182</v>
      </c>
      <c r="AD26" s="205">
        <f t="shared" si="33"/>
        <v>182</v>
      </c>
      <c r="AE26" s="205">
        <f t="shared" si="33"/>
        <v>182</v>
      </c>
      <c r="AF26" s="205">
        <f t="shared" si="33"/>
        <v>182</v>
      </c>
      <c r="AG26" s="371">
        <f t="shared" si="33"/>
        <v>182</v>
      </c>
      <c r="AH26" s="435">
        <f t="shared" si="33"/>
        <v>-249.30232558139596</v>
      </c>
      <c r="AI26" s="205">
        <f t="shared" si="33"/>
        <v>-474.50381679389466</v>
      </c>
      <c r="AJ26" s="205">
        <f t="shared" si="33"/>
        <v>-474.50381679389466</v>
      </c>
      <c r="AK26" s="205">
        <f t="shared" si="33"/>
        <v>-109.76744186046562</v>
      </c>
      <c r="AL26" s="205">
        <f t="shared" si="33"/>
        <v>1260.9836065573763</v>
      </c>
      <c r="AM26" s="205">
        <f t="shared" si="33"/>
        <v>1260.9836065573763</v>
      </c>
      <c r="AN26" s="205">
        <f t="shared" si="33"/>
        <v>654.72000000000116</v>
      </c>
      <c r="AO26" s="205">
        <f t="shared" si="33"/>
        <v>1628.6070686070707</v>
      </c>
      <c r="AP26" s="435">
        <f t="shared" si="33"/>
        <v>2117.2881355932223</v>
      </c>
      <c r="AQ26" s="205">
        <f t="shared" si="33"/>
        <v>1469.7520661157032</v>
      </c>
      <c r="AR26" s="205">
        <f t="shared" si="33"/>
        <v>1469.7520661157032</v>
      </c>
      <c r="AS26" s="205">
        <f t="shared" si="33"/>
        <v>1897.8151260504201</v>
      </c>
      <c r="AT26" s="205">
        <f t="shared" si="33"/>
        <v>459.04761904761835</v>
      </c>
      <c r="AU26" s="205">
        <f t="shared" si="33"/>
        <v>459.04761904761835</v>
      </c>
      <c r="AV26" s="205">
        <f t="shared" si="33"/>
        <v>459.04761904761835</v>
      </c>
      <c r="AW26" s="205">
        <f t="shared" si="33"/>
        <v>459.04761904761835</v>
      </c>
      <c r="AX26" s="205">
        <f t="shared" si="33"/>
        <v>266.45669291338709</v>
      </c>
      <c r="AY26" s="205">
        <f t="shared" si="33"/>
        <v>459.04761904761835</v>
      </c>
      <c r="AZ26" s="205">
        <f t="shared" si="33"/>
        <v>76.875</v>
      </c>
      <c r="BA26" s="205">
        <f t="shared" si="33"/>
        <v>131.625</v>
      </c>
      <c r="BB26" s="428">
        <f t="shared" si="33"/>
        <v>131.625</v>
      </c>
      <c r="BC26" s="205">
        <f t="shared" si="33"/>
        <v>131.625</v>
      </c>
      <c r="BD26" s="205">
        <f t="shared" si="33"/>
        <v>131.625</v>
      </c>
      <c r="BE26" s="205">
        <f t="shared" si="33"/>
        <v>-457.41514516611642</v>
      </c>
      <c r="BF26" s="205">
        <f t="shared" si="33"/>
        <v>-1047.9905826957038</v>
      </c>
      <c r="BG26" s="205">
        <f t="shared" si="33"/>
        <v>-665.88888888889051</v>
      </c>
      <c r="BH26" s="205">
        <f t="shared" si="33"/>
        <v>-1006.8888888888905</v>
      </c>
      <c r="BI26" s="205">
        <f t="shared" si="33"/>
        <v>-801.88888888889051</v>
      </c>
      <c r="BJ26" s="205">
        <f t="shared" si="33"/>
        <v>-1281.2941176470631</v>
      </c>
      <c r="BK26" s="205">
        <f t="shared" si="33"/>
        <v>-2434.7234042553173</v>
      </c>
      <c r="BL26" s="205">
        <f t="shared" si="33"/>
        <v>-3526.3333333333321</v>
      </c>
      <c r="BM26" s="205">
        <f t="shared" si="33"/>
        <v>-3282.3333333333321</v>
      </c>
      <c r="BN26" s="428">
        <f t="shared" si="33"/>
        <v>-3649.5675675675666</v>
      </c>
      <c r="BO26" s="205">
        <f t="shared" si="33"/>
        <v>-3636.5675675675666</v>
      </c>
      <c r="BP26" s="205">
        <f t="shared" si="33"/>
        <v>-3768.4736842105267</v>
      </c>
      <c r="BQ26" s="205">
        <f t="shared" si="33"/>
        <v>-4180.3136842105268</v>
      </c>
      <c r="BR26" s="205">
        <f t="shared" si="33"/>
        <v>-4180.3136842105268</v>
      </c>
      <c r="BS26" s="205">
        <f t="shared" si="33"/>
        <v>-4180.3136842105268</v>
      </c>
      <c r="BT26" s="205">
        <f t="shared" si="33"/>
        <v>-4180.3136842105268</v>
      </c>
      <c r="BU26" s="205">
        <f t="shared" si="33"/>
        <v>-4180.3136842105268</v>
      </c>
      <c r="BV26" s="205">
        <f t="shared" si="33"/>
        <v>-4180.3136842105268</v>
      </c>
      <c r="BW26" s="205">
        <f t="shared" si="33"/>
        <v>-4180.3136842105268</v>
      </c>
      <c r="BX26" s="435">
        <f t="shared" si="33"/>
        <v>-3354.378461538462</v>
      </c>
      <c r="BY26" s="205">
        <f t="shared" si="33"/>
        <v>-3354.378461538462</v>
      </c>
      <c r="BZ26" s="205">
        <f t="shared" si="33"/>
        <v>-3354.378461538462</v>
      </c>
      <c r="CA26" s="205">
        <f t="shared" si="33"/>
        <v>-3354.378461538462</v>
      </c>
      <c r="CB26" s="205">
        <f t="shared" si="33"/>
        <v>-3354.378461538462</v>
      </c>
      <c r="CC26" s="205">
        <f t="shared" si="33"/>
        <v>-3354.378461538462</v>
      </c>
      <c r="CD26" s="205">
        <f t="shared" ref="CD26:CM26" si="34">+CD25+CD22</f>
        <v>-3761.982857142857</v>
      </c>
      <c r="CE26" s="205">
        <f t="shared" si="34"/>
        <v>-3761.982857142857</v>
      </c>
      <c r="CF26" s="205">
        <f t="shared" si="34"/>
        <v>-3909.1733333333332</v>
      </c>
      <c r="CG26" s="205">
        <f t="shared" si="34"/>
        <v>-3909.1733333333332</v>
      </c>
      <c r="CH26" s="205">
        <f t="shared" si="34"/>
        <v>-3909.1733333333332</v>
      </c>
      <c r="CI26" s="435">
        <f t="shared" si="34"/>
        <v>-4180.3136842105268</v>
      </c>
      <c r="CJ26" s="205">
        <f t="shared" si="34"/>
        <v>-4180.3136842105268</v>
      </c>
      <c r="CK26" s="205">
        <f t="shared" si="34"/>
        <v>-3761.982857142857</v>
      </c>
      <c r="CL26" s="205">
        <f t="shared" si="34"/>
        <v>-3761.982857142857</v>
      </c>
      <c r="CM26" s="205">
        <f t="shared" si="34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</row>
    <row r="27" spans="1:94" ht="13.9" customHeight="1">
      <c r="P27" s="8"/>
      <c r="AG27" s="372"/>
      <c r="AH27" s="8"/>
      <c r="AP27" s="8"/>
      <c r="BB27" s="2"/>
      <c r="BN27" s="2"/>
      <c r="BX27" s="8"/>
      <c r="CI27" s="8"/>
    </row>
    <row r="28" spans="1:94" ht="13.15" customHeight="1">
      <c r="A28" s="182" t="s">
        <v>154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</row>
    <row r="29" spans="1:94">
      <c r="B29" s="206" t="s">
        <v>161</v>
      </c>
      <c r="C29" s="120"/>
      <c r="D29" s="60">
        <f t="shared" ref="D29:CP29" si="35">+D10-C10</f>
        <v>-91.570000000006985</v>
      </c>
      <c r="E29" s="60">
        <f t="shared" si="35"/>
        <v>1577.3999999999942</v>
      </c>
      <c r="F29" s="60">
        <f t="shared" si="35"/>
        <v>1410.529594150983</v>
      </c>
      <c r="G29" s="60">
        <f t="shared" si="35"/>
        <v>842.60484807300963</v>
      </c>
      <c r="H29" s="60">
        <f t="shared" si="35"/>
        <v>-696.4199999999837</v>
      </c>
      <c r="I29" s="60">
        <f t="shared" si="35"/>
        <v>3229.460000000021</v>
      </c>
      <c r="J29" s="60">
        <f t="shared" si="35"/>
        <v>-1283.0590206101479</v>
      </c>
      <c r="K29" s="60">
        <f t="shared" si="35"/>
        <v>41.501267626561457</v>
      </c>
      <c r="L29" s="60">
        <f t="shared" si="35"/>
        <v>-1375.0919161455822</v>
      </c>
      <c r="M29" s="60">
        <f t="shared" si="35"/>
        <v>5198.5100838963699</v>
      </c>
      <c r="N29" s="60">
        <f t="shared" si="35"/>
        <v>1900.4777515034948</v>
      </c>
      <c r="O29" s="60">
        <f t="shared" si="35"/>
        <v>1473.7082139462873</v>
      </c>
      <c r="P29" s="97">
        <f t="shared" si="35"/>
        <v>1322.3537498611258</v>
      </c>
      <c r="Q29" s="60">
        <f t="shared" si="35"/>
        <v>2630.7701340945496</v>
      </c>
      <c r="R29" s="60">
        <f t="shared" si="35"/>
        <v>2849.5865414272994</v>
      </c>
      <c r="S29" s="60">
        <f t="shared" si="35"/>
        <v>-3441.5213889629231</v>
      </c>
      <c r="T29" s="60">
        <f t="shared" si="35"/>
        <v>1332.4347431575297</v>
      </c>
      <c r="U29" s="60">
        <f t="shared" si="35"/>
        <v>2570.9898559567227</v>
      </c>
      <c r="V29" s="60">
        <f t="shared" si="35"/>
        <v>-9788.8670985981589</v>
      </c>
      <c r="W29" s="60">
        <f t="shared" si="35"/>
        <v>8284.8646364412853</v>
      </c>
      <c r="X29" s="60">
        <f t="shared" si="35"/>
        <v>5505.8358418713906</v>
      </c>
      <c r="Y29" s="60">
        <f t="shared" si="35"/>
        <v>-3636.7065828475752</v>
      </c>
      <c r="Z29" s="60">
        <f t="shared" si="35"/>
        <v>-6308.1197643466876</v>
      </c>
      <c r="AA29" s="60">
        <f t="shared" si="35"/>
        <v>20409.606660764955</v>
      </c>
      <c r="AB29" s="60">
        <f t="shared" si="35"/>
        <v>-4164.0931003053556</v>
      </c>
      <c r="AC29" s="60">
        <f t="shared" si="35"/>
        <v>2208.7090203568514</v>
      </c>
      <c r="AD29" s="60">
        <f t="shared" si="35"/>
        <v>-638.56105896597728</v>
      </c>
      <c r="AE29" s="60">
        <f t="shared" si="35"/>
        <v>-9937.8288931216521</v>
      </c>
      <c r="AF29" s="60">
        <f t="shared" si="35"/>
        <v>5918.4337033630873</v>
      </c>
      <c r="AG29" s="363">
        <f t="shared" si="35"/>
        <v>3665.3157928681758</v>
      </c>
      <c r="AH29" s="97">
        <f t="shared" si="35"/>
        <v>6080.990034769231</v>
      </c>
      <c r="AI29" s="60">
        <f t="shared" si="35"/>
        <v>187.80098857794655</v>
      </c>
      <c r="AJ29" s="60">
        <f t="shared" si="35"/>
        <v>3852.894267255615</v>
      </c>
      <c r="AK29" s="60">
        <f t="shared" si="35"/>
        <v>592.88044950875337</v>
      </c>
      <c r="AL29" s="60">
        <f t="shared" si="35"/>
        <v>59943.45270742345</v>
      </c>
      <c r="AM29" s="60">
        <f t="shared" si="35"/>
        <v>32909.973881633254</v>
      </c>
      <c r="AN29" s="60">
        <f t="shared" si="35"/>
        <v>14031.167105720029</v>
      </c>
      <c r="AO29" s="60">
        <f t="shared" si="35"/>
        <v>12372.574802865973</v>
      </c>
      <c r="AP29" s="97">
        <f t="shared" si="35"/>
        <v>7054.6149838240817</v>
      </c>
      <c r="AQ29" s="60">
        <f t="shared" si="35"/>
        <v>7795.2516071120044</v>
      </c>
      <c r="AR29" s="60">
        <f t="shared" si="35"/>
        <v>5746.2235734963324</v>
      </c>
      <c r="AS29" s="60">
        <f t="shared" si="35"/>
        <v>14841.370443166816</v>
      </c>
      <c r="AT29" s="60">
        <f t="shared" si="35"/>
        <v>18132.002570638026</v>
      </c>
      <c r="AU29" s="60">
        <f t="shared" si="35"/>
        <v>33620.270113521139</v>
      </c>
      <c r="AV29" s="60">
        <f t="shared" si="35"/>
        <v>-16277.203596449282</v>
      </c>
      <c r="AW29" s="60">
        <f t="shared" si="35"/>
        <v>15416.683448855823</v>
      </c>
      <c r="AX29" s="60">
        <f t="shared" si="35"/>
        <v>-516.53952369530452</v>
      </c>
      <c r="AY29" s="60">
        <f t="shared" si="35"/>
        <v>5159.270926134137</v>
      </c>
      <c r="AZ29" s="60">
        <f t="shared" si="35"/>
        <v>9658.0081041349913</v>
      </c>
      <c r="BA29" s="60">
        <f t="shared" si="35"/>
        <v>14350.050000000047</v>
      </c>
      <c r="BB29" s="106">
        <f t="shared" si="35"/>
        <v>7931.6999999999534</v>
      </c>
      <c r="BC29" s="60">
        <f t="shared" si="35"/>
        <v>4173.9299999999348</v>
      </c>
      <c r="BD29" s="60">
        <f t="shared" si="35"/>
        <v>-12954.739999999991</v>
      </c>
      <c r="BE29" s="60">
        <f t="shared" si="35"/>
        <v>33087.089854833903</v>
      </c>
      <c r="BF29" s="60">
        <f t="shared" si="35"/>
        <v>-2141.7454375295201</v>
      </c>
      <c r="BG29" s="60">
        <f t="shared" si="35"/>
        <v>7040.2416938067763</v>
      </c>
      <c r="BH29" s="60">
        <f t="shared" si="35"/>
        <v>7284.539999999979</v>
      </c>
      <c r="BI29" s="60">
        <f t="shared" si="35"/>
        <v>3927.8800000000047</v>
      </c>
      <c r="BJ29" s="60">
        <f t="shared" si="35"/>
        <v>10229.374771241914</v>
      </c>
      <c r="BK29" s="60">
        <f t="shared" si="35"/>
        <v>9199.1224993592477</v>
      </c>
      <c r="BL29" s="60">
        <f t="shared" si="35"/>
        <v>-2472.4299290779163</v>
      </c>
      <c r="BM29" s="60">
        <f t="shared" si="35"/>
        <v>88647.530000000261</v>
      </c>
      <c r="BN29" s="106">
        <f t="shared" si="35"/>
        <v>9385.0757657653885</v>
      </c>
      <c r="BO29" s="60">
        <f t="shared" si="35"/>
        <v>-21589.079999999958</v>
      </c>
      <c r="BP29" s="60">
        <f t="shared" si="35"/>
        <v>-3179.6261166429613</v>
      </c>
      <c r="BQ29" s="60">
        <f t="shared" si="35"/>
        <v>46823.969999999972</v>
      </c>
      <c r="BR29" s="60">
        <f t="shared" si="35"/>
        <v>102.32000000006519</v>
      </c>
      <c r="BS29" s="60">
        <f t="shared" si="35"/>
        <v>12761.780000000028</v>
      </c>
      <c r="BT29" s="60">
        <f t="shared" si="35"/>
        <v>28840</v>
      </c>
      <c r="BU29" s="60">
        <f t="shared" si="35"/>
        <v>-1566.7180000001099</v>
      </c>
      <c r="BV29" s="60">
        <f t="shared" si="35"/>
        <v>-12847.243999999948</v>
      </c>
      <c r="BW29" s="60">
        <f t="shared" si="35"/>
        <v>34202.090000000084</v>
      </c>
      <c r="BX29" s="97">
        <f t="shared" si="35"/>
        <v>20226.655222672038</v>
      </c>
      <c r="BY29" s="60">
        <f t="shared" si="35"/>
        <v>18071.624000000069</v>
      </c>
      <c r="BZ29" s="60">
        <f t="shared" si="35"/>
        <v>180.95999999996275</v>
      </c>
      <c r="CA29" s="60">
        <f t="shared" si="35"/>
        <v>-32206.728000000003</v>
      </c>
      <c r="CB29" s="60">
        <f t="shared" si="35"/>
        <v>20228.643999999971</v>
      </c>
      <c r="CC29" s="60">
        <f t="shared" si="35"/>
        <v>18868.559999999823</v>
      </c>
      <c r="CD29" s="60">
        <f t="shared" si="35"/>
        <v>36736.231501256698</v>
      </c>
      <c r="CE29" s="60">
        <f t="shared" si="35"/>
        <v>10425.741453237715</v>
      </c>
      <c r="CF29" s="60">
        <f t="shared" si="35"/>
        <v>13009.17756111559</v>
      </c>
      <c r="CG29" s="60">
        <f t="shared" si="35"/>
        <v>2105.2780373061541</v>
      </c>
      <c r="CH29" s="60">
        <f t="shared" si="35"/>
        <v>5158.6416373059619</v>
      </c>
      <c r="CI29" s="97">
        <f t="shared" si="35"/>
        <v>10784.040204077843</v>
      </c>
      <c r="CJ29" s="60">
        <f t="shared" si="35"/>
        <v>1256.8489830279723</v>
      </c>
      <c r="CK29" s="60">
        <f t="shared" si="35"/>
        <v>-16246.638497926295</v>
      </c>
      <c r="CL29" s="60">
        <f t="shared" si="35"/>
        <v>7988.3050000000512</v>
      </c>
      <c r="CM29" s="60">
        <f t="shared" si="35"/>
        <v>5746.4050000000279</v>
      </c>
      <c r="CN29" s="60">
        <f t="shared" si="35"/>
        <v>423709.57756159885</v>
      </c>
      <c r="CO29" s="60">
        <v>-3832.4520248386543</v>
      </c>
      <c r="CP29" s="60">
        <f t="shared" si="35"/>
        <v>-10585.319999999832</v>
      </c>
    </row>
    <row r="30" spans="1:94">
      <c r="B30" s="207" t="s">
        <v>159</v>
      </c>
      <c r="C30" s="211">
        <v>0</v>
      </c>
      <c r="D30" s="212">
        <f>+D29+C30</f>
        <v>-91.570000000006985</v>
      </c>
      <c r="E30" s="212">
        <f t="shared" ref="E30:CP30" si="36">+E29+D30</f>
        <v>1485.8299999999872</v>
      </c>
      <c r="F30" s="212">
        <f t="shared" si="36"/>
        <v>2896.3595941509702</v>
      </c>
      <c r="G30" s="212">
        <f t="shared" si="36"/>
        <v>3738.9644422239799</v>
      </c>
      <c r="H30" s="212">
        <f t="shared" si="36"/>
        <v>3042.5444422239962</v>
      </c>
      <c r="I30" s="212">
        <f t="shared" si="36"/>
        <v>6272.0044422240171</v>
      </c>
      <c r="J30" s="212">
        <f t="shared" si="36"/>
        <v>4988.9454216138693</v>
      </c>
      <c r="K30" s="212">
        <f t="shared" si="36"/>
        <v>5030.4466892404307</v>
      </c>
      <c r="L30" s="212">
        <f t="shared" si="36"/>
        <v>3655.3547730948485</v>
      </c>
      <c r="M30" s="212">
        <f t="shared" si="36"/>
        <v>8853.8648569912184</v>
      </c>
      <c r="N30" s="212">
        <f t="shared" si="36"/>
        <v>10754.342608494713</v>
      </c>
      <c r="O30" s="212">
        <f t="shared" si="36"/>
        <v>12228.050822441</v>
      </c>
      <c r="P30" s="269">
        <f t="shared" si="36"/>
        <v>13550.404572302126</v>
      </c>
      <c r="Q30" s="212">
        <f t="shared" si="36"/>
        <v>16181.174706396676</v>
      </c>
      <c r="R30" s="212">
        <f t="shared" si="36"/>
        <v>19030.761247823975</v>
      </c>
      <c r="S30" s="212">
        <f t="shared" si="36"/>
        <v>15589.239858861052</v>
      </c>
      <c r="T30" s="212">
        <f t="shared" si="36"/>
        <v>16921.674602018582</v>
      </c>
      <c r="U30" s="212">
        <f t="shared" si="36"/>
        <v>19492.664457975305</v>
      </c>
      <c r="V30" s="212">
        <f t="shared" si="36"/>
        <v>9703.7973593771458</v>
      </c>
      <c r="W30" s="212">
        <f t="shared" si="36"/>
        <v>17988.661995818431</v>
      </c>
      <c r="X30" s="212">
        <f t="shared" si="36"/>
        <v>23494.497837689822</v>
      </c>
      <c r="Y30" s="212">
        <f t="shared" si="36"/>
        <v>19857.791254842246</v>
      </c>
      <c r="Z30" s="212">
        <f t="shared" si="36"/>
        <v>13549.671490495559</v>
      </c>
      <c r="AA30" s="212">
        <f t="shared" si="36"/>
        <v>33959.278151260514</v>
      </c>
      <c r="AB30" s="212">
        <f t="shared" si="36"/>
        <v>29795.185050955159</v>
      </c>
      <c r="AC30" s="212">
        <f t="shared" si="36"/>
        <v>32003.89407131201</v>
      </c>
      <c r="AD30" s="212">
        <f t="shared" si="36"/>
        <v>31365.333012346033</v>
      </c>
      <c r="AE30" s="212">
        <f t="shared" si="36"/>
        <v>21427.504119224381</v>
      </c>
      <c r="AF30" s="212">
        <f t="shared" si="36"/>
        <v>27345.937822587468</v>
      </c>
      <c r="AG30" s="373">
        <f t="shared" si="36"/>
        <v>31011.253615455644</v>
      </c>
      <c r="AH30" s="269">
        <f t="shared" si="36"/>
        <v>37092.243650224875</v>
      </c>
      <c r="AI30" s="212">
        <f t="shared" si="36"/>
        <v>37280.044638802821</v>
      </c>
      <c r="AJ30" s="212">
        <f t="shared" si="36"/>
        <v>41132.938906058436</v>
      </c>
      <c r="AK30" s="212">
        <f t="shared" si="36"/>
        <v>41725.81935556719</v>
      </c>
      <c r="AL30" s="212">
        <f t="shared" si="36"/>
        <v>101669.27206299064</v>
      </c>
      <c r="AM30" s="212">
        <f t="shared" si="36"/>
        <v>134579.24594462389</v>
      </c>
      <c r="AN30" s="212">
        <f t="shared" si="36"/>
        <v>148610.41305034392</v>
      </c>
      <c r="AO30" s="212">
        <f t="shared" si="36"/>
        <v>160982.9878532099</v>
      </c>
      <c r="AP30" s="269">
        <f t="shared" si="36"/>
        <v>168037.60283703398</v>
      </c>
      <c r="AQ30" s="212">
        <f t="shared" si="36"/>
        <v>175832.85444414598</v>
      </c>
      <c r="AR30" s="212">
        <f t="shared" si="36"/>
        <v>181579.07801764231</v>
      </c>
      <c r="AS30" s="212">
        <f t="shared" si="36"/>
        <v>196420.44846080913</v>
      </c>
      <c r="AT30" s="212">
        <f t="shared" si="36"/>
        <v>214552.45103144716</v>
      </c>
      <c r="AU30" s="212">
        <f t="shared" si="36"/>
        <v>248172.72114496829</v>
      </c>
      <c r="AV30" s="212">
        <f t="shared" si="36"/>
        <v>231895.51754851901</v>
      </c>
      <c r="AW30" s="212">
        <f t="shared" si="36"/>
        <v>247312.20099737484</v>
      </c>
      <c r="AX30" s="212">
        <f t="shared" si="36"/>
        <v>246795.66147367953</v>
      </c>
      <c r="AY30" s="212">
        <f t="shared" si="36"/>
        <v>251954.93239981367</v>
      </c>
      <c r="AZ30" s="212">
        <f t="shared" si="36"/>
        <v>261612.94050394866</v>
      </c>
      <c r="BA30" s="212">
        <f t="shared" si="36"/>
        <v>275962.99050394871</v>
      </c>
      <c r="BB30" s="429">
        <f t="shared" si="36"/>
        <v>283894.69050394866</v>
      </c>
      <c r="BC30" s="212">
        <f t="shared" si="36"/>
        <v>288068.62050394859</v>
      </c>
      <c r="BD30" s="212">
        <f t="shared" si="36"/>
        <v>275113.8805039486</v>
      </c>
      <c r="BE30" s="212">
        <f t="shared" si="36"/>
        <v>308200.97035878251</v>
      </c>
      <c r="BF30" s="212">
        <f t="shared" si="36"/>
        <v>306059.22492125299</v>
      </c>
      <c r="BG30" s="212">
        <f t="shared" si="36"/>
        <v>313099.46661505976</v>
      </c>
      <c r="BH30" s="212">
        <f t="shared" si="36"/>
        <v>320384.00661505974</v>
      </c>
      <c r="BI30" s="212">
        <f t="shared" si="36"/>
        <v>324311.88661505975</v>
      </c>
      <c r="BJ30" s="212">
        <f t="shared" si="36"/>
        <v>334541.26138630166</v>
      </c>
      <c r="BK30" s="212">
        <f t="shared" si="36"/>
        <v>343740.38388566091</v>
      </c>
      <c r="BL30" s="212">
        <f t="shared" si="36"/>
        <v>341267.95395658299</v>
      </c>
      <c r="BM30" s="212">
        <f t="shared" si="36"/>
        <v>429915.48395658325</v>
      </c>
      <c r="BN30" s="429">
        <f t="shared" si="36"/>
        <v>439300.55972234864</v>
      </c>
      <c r="BO30" s="212">
        <f t="shared" si="36"/>
        <v>417711.47972234868</v>
      </c>
      <c r="BP30" s="212">
        <f t="shared" si="36"/>
        <v>414531.85360570572</v>
      </c>
      <c r="BQ30" s="212">
        <f t="shared" si="36"/>
        <v>461355.82360570569</v>
      </c>
      <c r="BR30" s="212">
        <f t="shared" si="36"/>
        <v>461458.14360570576</v>
      </c>
      <c r="BS30" s="212">
        <f t="shared" si="36"/>
        <v>474219.92360570579</v>
      </c>
      <c r="BT30" s="212">
        <f t="shared" si="36"/>
        <v>503059.92360570579</v>
      </c>
      <c r="BU30" s="212">
        <f t="shared" si="36"/>
        <v>501493.20560570568</v>
      </c>
      <c r="BV30" s="212">
        <f t="shared" si="36"/>
        <v>488645.96160570573</v>
      </c>
      <c r="BW30" s="212">
        <f t="shared" si="36"/>
        <v>522848.05160570581</v>
      </c>
      <c r="BX30" s="269">
        <f t="shared" si="36"/>
        <v>543074.70682837791</v>
      </c>
      <c r="BY30" s="212">
        <f t="shared" si="36"/>
        <v>561146.33082837798</v>
      </c>
      <c r="BZ30" s="212">
        <f t="shared" si="36"/>
        <v>561327.29082837794</v>
      </c>
      <c r="CA30" s="212">
        <f t="shared" si="36"/>
        <v>529120.56282837794</v>
      </c>
      <c r="CB30" s="212">
        <f t="shared" si="36"/>
        <v>549349.20682837791</v>
      </c>
      <c r="CC30" s="212">
        <f t="shared" si="36"/>
        <v>568217.76682837773</v>
      </c>
      <c r="CD30" s="212">
        <f t="shared" si="36"/>
        <v>604953.99832963443</v>
      </c>
      <c r="CE30" s="212">
        <f t="shared" si="36"/>
        <v>615379.73978287214</v>
      </c>
      <c r="CF30" s="212">
        <f t="shared" si="36"/>
        <v>628388.91734398773</v>
      </c>
      <c r="CG30" s="212">
        <f t="shared" si="36"/>
        <v>630494.19538129389</v>
      </c>
      <c r="CH30" s="212">
        <f t="shared" si="36"/>
        <v>635652.83701859985</v>
      </c>
      <c r="CI30" s="269">
        <f t="shared" si="36"/>
        <v>646436.87722267769</v>
      </c>
      <c r="CJ30" s="212">
        <f t="shared" si="36"/>
        <v>647693.72620570567</v>
      </c>
      <c r="CK30" s="212">
        <f t="shared" si="36"/>
        <v>631447.08770777937</v>
      </c>
      <c r="CL30" s="212">
        <f t="shared" si="36"/>
        <v>639435.39270777942</v>
      </c>
      <c r="CM30" s="212">
        <f t="shared" si="36"/>
        <v>645181.79770777945</v>
      </c>
      <c r="CN30" s="212">
        <f t="shared" si="36"/>
        <v>1068891.3752693783</v>
      </c>
      <c r="CO30" s="212">
        <v>1065058.9232445396</v>
      </c>
      <c r="CP30" s="212">
        <f t="shared" si="36"/>
        <v>1054473.6032445398</v>
      </c>
    </row>
    <row r="31" spans="1:94">
      <c r="A31" s="207"/>
      <c r="B31" s="208" t="s">
        <v>157</v>
      </c>
      <c r="C31" s="9"/>
      <c r="D31" s="209">
        <f>+D30/$C$10</f>
        <v>-6.0112225049694388E-4</v>
      </c>
      <c r="E31" s="209">
        <f t="shared" ref="E31:CC31" si="37">+E30/$C$10</f>
        <v>9.7539092874937023E-3</v>
      </c>
      <c r="F31" s="209">
        <f t="shared" si="37"/>
        <v>1.901350002713021E-2</v>
      </c>
      <c r="G31" s="209">
        <f t="shared" si="37"/>
        <v>2.4544880638173613E-2</v>
      </c>
      <c r="H31" s="209">
        <f t="shared" si="37"/>
        <v>1.9973147999852767E-2</v>
      </c>
      <c r="I31" s="209">
        <f t="shared" si="37"/>
        <v>4.1173325602667281E-2</v>
      </c>
      <c r="J31" s="209">
        <f t="shared" si="37"/>
        <v>3.2750530735467125E-2</v>
      </c>
      <c r="K31" s="209">
        <f t="shared" si="37"/>
        <v>3.302297078563806E-2</v>
      </c>
      <c r="L31" s="209">
        <f t="shared" si="37"/>
        <v>2.3996014934665865E-2</v>
      </c>
      <c r="M31" s="209">
        <f t="shared" si="37"/>
        <v>5.8122258036801981E-2</v>
      </c>
      <c r="N31" s="209">
        <f t="shared" si="37"/>
        <v>7.0598172233624801E-2</v>
      </c>
      <c r="O31" s="209">
        <f t="shared" si="37"/>
        <v>8.0272506602338964E-2</v>
      </c>
      <c r="P31" s="15">
        <f t="shared" si="37"/>
        <v>8.8953256433828884E-2</v>
      </c>
      <c r="Q31" s="209">
        <f t="shared" si="37"/>
        <v>0.10622326258810366</v>
      </c>
      <c r="R31" s="209">
        <f t="shared" si="37"/>
        <v>0.12492971529934589</v>
      </c>
      <c r="S31" s="209">
        <f t="shared" si="37"/>
        <v>0.10233743526804084</v>
      </c>
      <c r="T31" s="209">
        <f t="shared" si="37"/>
        <v>0.1110843629894246</v>
      </c>
      <c r="U31" s="209">
        <f t="shared" si="37"/>
        <v>0.12796193433612549</v>
      </c>
      <c r="V31" s="209">
        <f t="shared" si="37"/>
        <v>6.370174191366873E-2</v>
      </c>
      <c r="W31" s="209">
        <f t="shared" si="37"/>
        <v>0.11808872974068359</v>
      </c>
      <c r="X31" s="209">
        <f t="shared" si="37"/>
        <v>0.15423244965039434</v>
      </c>
      <c r="Y31" s="209">
        <f t="shared" si="37"/>
        <v>0.13035885299779831</v>
      </c>
      <c r="Z31" s="209">
        <f t="shared" si="37"/>
        <v>8.8948444030363102E-2</v>
      </c>
      <c r="AA31" s="209">
        <f t="shared" si="37"/>
        <v>0.22292975546069518</v>
      </c>
      <c r="AB31" s="209">
        <f t="shared" si="37"/>
        <v>0.19559406674458554</v>
      </c>
      <c r="AC31" s="209">
        <f t="shared" si="37"/>
        <v>0.21009340208377641</v>
      </c>
      <c r="AD31" s="209">
        <f t="shared" si="37"/>
        <v>0.20590149140511191</v>
      </c>
      <c r="AE31" s="209">
        <f t="shared" si="37"/>
        <v>0.14066342141181296</v>
      </c>
      <c r="AF31" s="209">
        <f t="shared" si="37"/>
        <v>0.17951568948194846</v>
      </c>
      <c r="AG31" s="374">
        <f t="shared" si="37"/>
        <v>0.20357709472592292</v>
      </c>
      <c r="AH31" s="15">
        <f t="shared" si="37"/>
        <v>0.2434964833351802</v>
      </c>
      <c r="AI31" s="209">
        <f t="shared" si="37"/>
        <v>0.24472932545486478</v>
      </c>
      <c r="AJ31" s="209">
        <f t="shared" si="37"/>
        <v>0.2700221120974256</v>
      </c>
      <c r="AK31" s="209">
        <f t="shared" si="37"/>
        <v>0.27391414693508326</v>
      </c>
      <c r="AL31" s="209">
        <f t="shared" si="37"/>
        <v>0.66742013354686403</v>
      </c>
      <c r="AM31" s="209">
        <f t="shared" si="37"/>
        <v>0.88346160524634543</v>
      </c>
      <c r="AN31" s="209">
        <f t="shared" si="37"/>
        <v>0.97557088500705824</v>
      </c>
      <c r="AO31" s="209">
        <f t="shared" si="37"/>
        <v>1.0567921366171926</v>
      </c>
      <c r="AP31" s="15">
        <f t="shared" si="37"/>
        <v>1.1031030030086468</v>
      </c>
      <c r="AQ31" s="209">
        <f t="shared" si="37"/>
        <v>1.1542758673665887</v>
      </c>
      <c r="AR31" s="209">
        <f t="shared" si="37"/>
        <v>1.191997641379458</v>
      </c>
      <c r="AS31" s="209">
        <f t="shared" si="37"/>
        <v>1.2894255981475544</v>
      </c>
      <c r="AT31" s="209">
        <f t="shared" si="37"/>
        <v>1.4084553042879657</v>
      </c>
      <c r="AU31" s="209">
        <f t="shared" si="37"/>
        <v>1.629159600814704</v>
      </c>
      <c r="AV31" s="209">
        <f t="shared" si="37"/>
        <v>1.5223059450574277</v>
      </c>
      <c r="AW31" s="209">
        <f t="shared" si="37"/>
        <v>1.6235106130706907</v>
      </c>
      <c r="AX31" s="209">
        <f t="shared" si="37"/>
        <v>1.6201197273990262</v>
      </c>
      <c r="AY31" s="209">
        <f t="shared" si="37"/>
        <v>1.6539883803425772</v>
      </c>
      <c r="AZ31" s="209">
        <f t="shared" si="37"/>
        <v>1.71738953319695</v>
      </c>
      <c r="BA31" s="209">
        <f t="shared" si="37"/>
        <v>1.8115921579730014</v>
      </c>
      <c r="BB31" s="430">
        <f t="shared" si="37"/>
        <v>1.8636607541755374</v>
      </c>
      <c r="BC31" s="209">
        <f t="shared" si="37"/>
        <v>1.8910610183998082</v>
      </c>
      <c r="BD31" s="209">
        <f t="shared" si="37"/>
        <v>1.8060180735117206</v>
      </c>
      <c r="BE31" s="209">
        <f t="shared" si="37"/>
        <v>2.0232222442655794</v>
      </c>
      <c r="BF31" s="209">
        <f t="shared" si="37"/>
        <v>2.0091624993993653</v>
      </c>
      <c r="BG31" s="209">
        <f t="shared" si="37"/>
        <v>2.0553790106041618</v>
      </c>
      <c r="BH31" s="209">
        <f t="shared" si="37"/>
        <v>2.1031992473480154</v>
      </c>
      <c r="BI31" s="209">
        <f t="shared" si="37"/>
        <v>2.1289842868290871</v>
      </c>
      <c r="BJ31" s="209">
        <f t="shared" si="37"/>
        <v>2.1961362447155692</v>
      </c>
      <c r="BK31" s="209">
        <f t="shared" si="37"/>
        <v>2.2565249879656673</v>
      </c>
      <c r="BL31" s="209">
        <f t="shared" si="37"/>
        <v>2.2402944250830288</v>
      </c>
      <c r="BM31" s="209">
        <f t="shared" si="37"/>
        <v>2.8222317706611815</v>
      </c>
      <c r="BN31" s="430">
        <f t="shared" si="37"/>
        <v>2.8838412264370992</v>
      </c>
      <c r="BO31" s="209">
        <f t="shared" si="37"/>
        <v>2.7421171207719519</v>
      </c>
      <c r="BP31" s="209">
        <f t="shared" si="37"/>
        <v>2.7212440836749208</v>
      </c>
      <c r="BQ31" s="209">
        <f t="shared" si="37"/>
        <v>3.0286256521318302</v>
      </c>
      <c r="BR31" s="209">
        <f t="shared" si="37"/>
        <v>3.029297344046987</v>
      </c>
      <c r="BS31" s="209">
        <f t="shared" si="37"/>
        <v>3.1130735798659921</v>
      </c>
      <c r="BT31" s="209">
        <f t="shared" si="37"/>
        <v>3.3023972197516596</v>
      </c>
      <c r="BU31" s="209">
        <f t="shared" si="37"/>
        <v>3.2921123114841695</v>
      </c>
      <c r="BV31" s="209">
        <f t="shared" si="37"/>
        <v>3.2077750369841942</v>
      </c>
      <c r="BW31" s="209">
        <f t="shared" si="37"/>
        <v>3.432298759955664</v>
      </c>
      <c r="BX31" s="15">
        <f t="shared" si="37"/>
        <v>3.565079064722263</v>
      </c>
      <c r="BY31" s="209">
        <f t="shared" si="37"/>
        <v>3.6837124084922075</v>
      </c>
      <c r="BZ31" s="209">
        <f t="shared" si="37"/>
        <v>3.6849003421216699</v>
      </c>
      <c r="CA31" s="209">
        <f t="shared" si="37"/>
        <v>3.4734754123793805</v>
      </c>
      <c r="CB31" s="209">
        <f t="shared" si="37"/>
        <v>3.6062687727133387</v>
      </c>
      <c r="CC31" s="209">
        <f t="shared" si="37"/>
        <v>3.7301336984623354</v>
      </c>
      <c r="CD31" s="209">
        <f t="shared" ref="CD31:CM31" si="38">+CD30/$C$10</f>
        <v>3.971293097335443</v>
      </c>
      <c r="CE31" s="209">
        <f t="shared" si="38"/>
        <v>4.0397341278636629</v>
      </c>
      <c r="CF31" s="209">
        <f t="shared" si="38"/>
        <v>4.125134434652475</v>
      </c>
      <c r="CG31" s="209">
        <f t="shared" si="38"/>
        <v>4.1389547848949908</v>
      </c>
      <c r="CH31" s="209">
        <f t="shared" si="38"/>
        <v>4.1728193067965345</v>
      </c>
      <c r="CI31" s="15">
        <f t="shared" si="38"/>
        <v>4.2436124324591349</v>
      </c>
      <c r="CJ31" s="209">
        <f t="shared" si="38"/>
        <v>4.251863168390253</v>
      </c>
      <c r="CK31" s="209">
        <f t="shared" si="38"/>
        <v>4.1452101608890741</v>
      </c>
      <c r="CL31" s="209">
        <f t="shared" si="38"/>
        <v>4.1976503474049158</v>
      </c>
      <c r="CM31" s="209">
        <f t="shared" si="38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</row>
    <row r="32" spans="1:94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4">
      <c r="B33" s="204" t="s">
        <v>156</v>
      </c>
      <c r="C33" s="119"/>
      <c r="D33" s="185">
        <f>+D30-D18</f>
        <v>-872.25000000000728</v>
      </c>
      <c r="E33" s="185">
        <f t="shared" ref="E33:Q33" si="39">+E30-E18-E26</f>
        <v>78.749999999985448</v>
      </c>
      <c r="F33" s="185">
        <f t="shared" si="39"/>
        <v>-400.59040584902687</v>
      </c>
      <c r="G33" s="185">
        <f t="shared" si="39"/>
        <v>-2234.700405849062</v>
      </c>
      <c r="H33" s="185">
        <f t="shared" si="39"/>
        <v>-2161.9904058490465</v>
      </c>
      <c r="I33" s="185">
        <f t="shared" si="39"/>
        <v>-331.5104058490324</v>
      </c>
      <c r="J33" s="185">
        <f t="shared" si="39"/>
        <v>-241.27040584901988</v>
      </c>
      <c r="K33" s="185">
        <f t="shared" si="39"/>
        <v>-951.27040584904898</v>
      </c>
      <c r="L33" s="185">
        <f t="shared" si="39"/>
        <v>-1299.1104058490309</v>
      </c>
      <c r="M33" s="185">
        <f t="shared" si="39"/>
        <v>-949.11040584903094</v>
      </c>
      <c r="N33" s="185">
        <f t="shared" si="39"/>
        <v>-951.11040584904549</v>
      </c>
      <c r="O33" s="185">
        <f t="shared" si="39"/>
        <v>1059.8895941509691</v>
      </c>
      <c r="P33" s="13">
        <f t="shared" si="39"/>
        <v>-551.11040584904549</v>
      </c>
      <c r="Q33" s="185">
        <f t="shared" si="39"/>
        <v>-1051.1104058490455</v>
      </c>
      <c r="R33" s="185">
        <f t="shared" ref="R33:W33" si="40">+R30-R18-R26</f>
        <v>-1587.3504058490362</v>
      </c>
      <c r="S33" s="185">
        <f t="shared" si="40"/>
        <v>-2854.350405849038</v>
      </c>
      <c r="T33" s="185">
        <f t="shared" si="40"/>
        <v>-644.50040584901762</v>
      </c>
      <c r="U33" s="185">
        <f t="shared" si="40"/>
        <v>-3595.5004058490058</v>
      </c>
      <c r="V33" s="185">
        <f t="shared" si="40"/>
        <v>-3595.020405849039</v>
      </c>
      <c r="W33" s="185">
        <f t="shared" si="40"/>
        <v>-1007.020405849049</v>
      </c>
      <c r="X33" s="185">
        <f t="shared" ref="X33:AC33" si="41">+X30-X18-X26</f>
        <v>-2612.0204058490199</v>
      </c>
      <c r="Y33" s="185">
        <f t="shared" si="41"/>
        <v>-1210.0903858932143</v>
      </c>
      <c r="Z33" s="185">
        <f t="shared" si="41"/>
        <v>-1173.0360701450845</v>
      </c>
      <c r="AA33" s="185">
        <f t="shared" si="41"/>
        <v>15111.281405409361</v>
      </c>
      <c r="AB33" s="185">
        <f t="shared" si="41"/>
        <v>7926.2814054093615</v>
      </c>
      <c r="AC33" s="185">
        <f t="shared" si="41"/>
        <v>7911.0998396525974</v>
      </c>
      <c r="AD33" s="185">
        <f t="shared" ref="AD33:AI33" si="42">+AD30-AD18-AD26</f>
        <v>9898.4998396526207</v>
      </c>
      <c r="AE33" s="185">
        <f t="shared" si="42"/>
        <v>6292.7460169096885</v>
      </c>
      <c r="AF33" s="185">
        <f t="shared" si="42"/>
        <v>6292.7460169096885</v>
      </c>
      <c r="AG33" s="375">
        <f t="shared" si="42"/>
        <v>4597.7543059208911</v>
      </c>
      <c r="AH33" s="13">
        <f t="shared" si="42"/>
        <v>5078.0712334533155</v>
      </c>
      <c r="AI33" s="185">
        <f t="shared" si="42"/>
        <v>-574.74426745321762</v>
      </c>
      <c r="AJ33" s="185">
        <f t="shared" ref="AJ33:AO33" si="43">+AJ30-AJ18-AJ26</f>
        <v>1389.0058558646451</v>
      </c>
      <c r="AK33" s="185">
        <f t="shared" si="43"/>
        <v>6226.450729081007</v>
      </c>
      <c r="AL33" s="185">
        <f t="shared" si="43"/>
        <v>58301.503034133537</v>
      </c>
      <c r="AM33" s="185">
        <f t="shared" si="43"/>
        <v>84600.983234508487</v>
      </c>
      <c r="AN33" s="185">
        <f t="shared" si="43"/>
        <v>89664.255066149461</v>
      </c>
      <c r="AO33" s="185">
        <f t="shared" si="43"/>
        <v>92442.30494286686</v>
      </c>
      <c r="AP33" s="13">
        <f t="shared" ref="AP33:AU33" si="44">+AP30-AP18-AP26</f>
        <v>102634.38426356707</v>
      </c>
      <c r="AQ33" s="185">
        <f t="shared" si="44"/>
        <v>105885.5250385941</v>
      </c>
      <c r="AR33" s="185">
        <f t="shared" si="44"/>
        <v>106237.06552529006</v>
      </c>
      <c r="AS33" s="185">
        <f t="shared" si="44"/>
        <v>104389.21807243621</v>
      </c>
      <c r="AT33" s="185">
        <f t="shared" si="44"/>
        <v>126547.23383956407</v>
      </c>
      <c r="AU33" s="185">
        <f t="shared" si="44"/>
        <v>158734.94510378584</v>
      </c>
      <c r="AV33" s="185">
        <f t="shared" ref="AV33:BA33" si="45">+AV30-AV18-AV26</f>
        <v>138838.98094026599</v>
      </c>
      <c r="AW33" s="185">
        <f t="shared" si="45"/>
        <v>139191.3087938989</v>
      </c>
      <c r="AX33" s="185">
        <f t="shared" si="45"/>
        <v>137621.91744108417</v>
      </c>
      <c r="AY33" s="185">
        <f t="shared" si="45"/>
        <v>135944.28534897877</v>
      </c>
      <c r="AZ33" s="185">
        <f t="shared" si="45"/>
        <v>137744.2860721614</v>
      </c>
      <c r="BA33" s="185">
        <f t="shared" si="45"/>
        <v>147614.28607216146</v>
      </c>
      <c r="BB33" s="189">
        <f t="shared" ref="BB33:BG33" si="46">+BB30-BB18-BB26</f>
        <v>146708.2860721614</v>
      </c>
      <c r="BC33" s="185">
        <f t="shared" si="46"/>
        <v>147908.28607216134</v>
      </c>
      <c r="BD33" s="185">
        <f t="shared" si="46"/>
        <v>147107.48607216135</v>
      </c>
      <c r="BE33" s="185">
        <f t="shared" si="46"/>
        <v>171224.48607216135</v>
      </c>
      <c r="BF33" s="185">
        <f t="shared" si="46"/>
        <v>168461.34216307051</v>
      </c>
      <c r="BG33" s="185">
        <f t="shared" si="46"/>
        <v>169072.78665473714</v>
      </c>
      <c r="BH33" s="185">
        <f t="shared" ref="BH33:BM33" si="47">+BH30-BH18-BH26</f>
        <v>179205.78665473714</v>
      </c>
      <c r="BI33" s="185">
        <f t="shared" si="47"/>
        <v>180600.78665473714</v>
      </c>
      <c r="BJ33" s="185">
        <f t="shared" si="47"/>
        <v>188235.83206382813</v>
      </c>
      <c r="BK33" s="185">
        <f t="shared" si="47"/>
        <v>189887.01788171052</v>
      </c>
      <c r="BL33" s="185">
        <f t="shared" si="47"/>
        <v>188728.01788171064</v>
      </c>
      <c r="BM33" s="185">
        <f t="shared" si="47"/>
        <v>276311.01788171084</v>
      </c>
      <c r="BN33" s="189">
        <f t="shared" ref="BN33:BT33" si="48">+BN30-BN18-BN26</f>
        <v>285996.56788171048</v>
      </c>
      <c r="BO33" s="185">
        <f t="shared" si="48"/>
        <v>274997.56788171059</v>
      </c>
      <c r="BP33" s="185">
        <f t="shared" si="48"/>
        <v>274562.56788171054</v>
      </c>
      <c r="BQ33" s="185">
        <f t="shared" si="48"/>
        <v>313933.18843828945</v>
      </c>
      <c r="BR33" s="185">
        <f t="shared" si="48"/>
        <v>313033.18843828957</v>
      </c>
      <c r="BS33" s="185">
        <f t="shared" si="48"/>
        <v>332296.18843828957</v>
      </c>
      <c r="BT33" s="185">
        <f t="shared" si="48"/>
        <v>361136.18843828957</v>
      </c>
      <c r="BU33" s="185">
        <f t="shared" ref="BU33:BZ33" si="49">+BU30-BU18-BU26</f>
        <v>362559.05043828947</v>
      </c>
      <c r="BV33" s="185">
        <f t="shared" si="49"/>
        <v>361388.67643828952</v>
      </c>
      <c r="BW33" s="185">
        <f t="shared" si="49"/>
        <v>370082.30013828957</v>
      </c>
      <c r="BX33" s="13">
        <f t="shared" si="49"/>
        <v>375547.86013828963</v>
      </c>
      <c r="BY33" s="185">
        <f t="shared" si="49"/>
        <v>375459.8641382897</v>
      </c>
      <c r="BZ33" s="185">
        <f t="shared" si="49"/>
        <v>391763.92830495629</v>
      </c>
      <c r="CA33" s="185">
        <f t="shared" ref="CA33:CF33" si="50">+CA30-CA18-CA26</f>
        <v>392105.36430495628</v>
      </c>
      <c r="CB33" s="185">
        <f t="shared" si="50"/>
        <v>391727.58830495627</v>
      </c>
      <c r="CC33" s="185">
        <f t="shared" si="50"/>
        <v>391068.18830495607</v>
      </c>
      <c r="CD33" s="185">
        <f t="shared" si="50"/>
        <v>437598.70420181716</v>
      </c>
      <c r="CE33" s="185">
        <f t="shared" si="50"/>
        <v>437845.97565505491</v>
      </c>
      <c r="CF33" s="185">
        <f t="shared" si="50"/>
        <v>442089.50369236094</v>
      </c>
      <c r="CG33" s="185">
        <f t="shared" ref="CG33:CL33" si="51">+CG30-CG18-CG26</f>
        <v>441985.0317296671</v>
      </c>
      <c r="CH33" s="185">
        <f t="shared" si="51"/>
        <v>462079.0621169731</v>
      </c>
      <c r="CI33" s="13">
        <f t="shared" si="51"/>
        <v>464184.90392192814</v>
      </c>
      <c r="CJ33" s="185">
        <f t="shared" si="51"/>
        <v>452352.56790495606</v>
      </c>
      <c r="CK33" s="185">
        <f t="shared" si="51"/>
        <v>451640.49873158889</v>
      </c>
      <c r="CL33" s="185">
        <f t="shared" si="51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</row>
    <row r="34" spans="1:94">
      <c r="P34" s="8"/>
      <c r="AG34" s="372"/>
      <c r="AH34" s="8"/>
      <c r="AP34" s="8"/>
      <c r="BB34" s="2"/>
      <c r="BN34" s="2"/>
      <c r="BX34" s="8"/>
      <c r="CI34" s="8"/>
    </row>
    <row r="35" spans="1:94">
      <c r="A35" s="207"/>
      <c r="B35" s="109" t="s">
        <v>97</v>
      </c>
      <c r="C35" s="189">
        <f>+Chaves!F25</f>
        <v>149688.85618352744</v>
      </c>
      <c r="D35" s="185">
        <f t="shared" ref="D35:I35" si="52">+C35</f>
        <v>149688.85618352744</v>
      </c>
      <c r="E35" s="185">
        <f t="shared" si="52"/>
        <v>149688.85618352744</v>
      </c>
      <c r="F35" s="185">
        <f t="shared" si="52"/>
        <v>149688.85618352744</v>
      </c>
      <c r="G35" s="185">
        <f t="shared" si="52"/>
        <v>149688.85618352744</v>
      </c>
      <c r="H35" s="185">
        <f t="shared" si="52"/>
        <v>149688.85618352744</v>
      </c>
      <c r="I35" s="185">
        <f t="shared" si="52"/>
        <v>149688.85618352744</v>
      </c>
      <c r="J35" s="185">
        <f t="shared" ref="J35:O35" si="53">+I35</f>
        <v>149688.85618352744</v>
      </c>
      <c r="K35" s="185">
        <f t="shared" si="53"/>
        <v>149688.85618352744</v>
      </c>
      <c r="L35" s="185">
        <f t="shared" si="53"/>
        <v>149688.85618352744</v>
      </c>
      <c r="M35" s="185">
        <f t="shared" si="53"/>
        <v>149688.85618352744</v>
      </c>
      <c r="N35" s="185">
        <f t="shared" si="53"/>
        <v>149688.85618352744</v>
      </c>
      <c r="O35" s="185">
        <f t="shared" si="53"/>
        <v>149688.85618352744</v>
      </c>
      <c r="P35" s="13">
        <f t="shared" ref="P35:U35" si="54">+O35</f>
        <v>149688.85618352744</v>
      </c>
      <c r="Q35" s="185">
        <f t="shared" si="54"/>
        <v>149688.85618352744</v>
      </c>
      <c r="R35" s="185">
        <f t="shared" si="54"/>
        <v>149688.85618352744</v>
      </c>
      <c r="S35" s="185">
        <f t="shared" si="54"/>
        <v>149688.85618352744</v>
      </c>
      <c r="T35" s="185">
        <f t="shared" si="54"/>
        <v>149688.85618352744</v>
      </c>
      <c r="U35" s="185">
        <f t="shared" si="54"/>
        <v>149688.85618352744</v>
      </c>
      <c r="V35" s="185">
        <f t="shared" ref="V35:AA35" si="55">+U35</f>
        <v>149688.85618352744</v>
      </c>
      <c r="W35" s="185">
        <f t="shared" si="55"/>
        <v>149688.85618352744</v>
      </c>
      <c r="X35" s="185">
        <f t="shared" si="55"/>
        <v>149688.85618352744</v>
      </c>
      <c r="Y35" s="185">
        <f t="shared" si="55"/>
        <v>149688.85618352744</v>
      </c>
      <c r="Z35" s="185">
        <f t="shared" si="55"/>
        <v>149688.85618352744</v>
      </c>
      <c r="AA35" s="185">
        <f t="shared" si="55"/>
        <v>149688.85618352744</v>
      </c>
      <c r="AB35" s="185">
        <f t="shared" ref="AB35:AG35" si="56">+AA35</f>
        <v>149688.85618352744</v>
      </c>
      <c r="AC35" s="185">
        <f t="shared" si="56"/>
        <v>149688.85618352744</v>
      </c>
      <c r="AD35" s="185">
        <f t="shared" si="56"/>
        <v>149688.85618352744</v>
      </c>
      <c r="AE35" s="185">
        <f t="shared" si="56"/>
        <v>149688.85618352744</v>
      </c>
      <c r="AF35" s="185">
        <f t="shared" si="56"/>
        <v>149688.85618352744</v>
      </c>
      <c r="AG35" s="375">
        <f t="shared" si="56"/>
        <v>149688.85618352744</v>
      </c>
      <c r="AH35" s="13">
        <f t="shared" ref="AH35:AM35" si="57">+AG35</f>
        <v>149688.85618352744</v>
      </c>
      <c r="AI35" s="185">
        <f t="shared" si="57"/>
        <v>149688.85618352744</v>
      </c>
      <c r="AJ35" s="185">
        <f t="shared" si="57"/>
        <v>149688.85618352744</v>
      </c>
      <c r="AK35" s="185">
        <f t="shared" si="57"/>
        <v>149688.85618352744</v>
      </c>
      <c r="AL35" s="185">
        <f t="shared" si="57"/>
        <v>149688.85618352744</v>
      </c>
      <c r="AM35" s="185">
        <f t="shared" si="57"/>
        <v>149688.85618352744</v>
      </c>
      <c r="AN35" s="185">
        <f t="shared" ref="AN35:AS35" si="58">+AM35</f>
        <v>149688.85618352744</v>
      </c>
      <c r="AO35" s="185">
        <f t="shared" si="58"/>
        <v>149688.85618352744</v>
      </c>
      <c r="AP35" s="13">
        <f t="shared" si="58"/>
        <v>149688.85618352744</v>
      </c>
      <c r="AQ35" s="185">
        <f t="shared" si="58"/>
        <v>149688.85618352744</v>
      </c>
      <c r="AR35" s="185">
        <f t="shared" si="58"/>
        <v>149688.85618352744</v>
      </c>
      <c r="AS35" s="185">
        <f t="shared" si="58"/>
        <v>149688.85618352744</v>
      </c>
      <c r="AT35" s="185">
        <f t="shared" ref="AT35:AY35" si="59">+AS35</f>
        <v>149688.85618352744</v>
      </c>
      <c r="AU35" s="185">
        <f t="shared" si="59"/>
        <v>149688.85618352744</v>
      </c>
      <c r="AV35" s="185">
        <f t="shared" si="59"/>
        <v>149688.85618352744</v>
      </c>
      <c r="AW35" s="185">
        <f t="shared" si="59"/>
        <v>149688.85618352744</v>
      </c>
      <c r="AX35" s="185">
        <f t="shared" si="59"/>
        <v>149688.85618352744</v>
      </c>
      <c r="AY35" s="185">
        <f t="shared" si="59"/>
        <v>149688.85618352744</v>
      </c>
      <c r="AZ35" s="185">
        <f t="shared" ref="AZ35:BE35" si="60">+AY35</f>
        <v>149688.85618352744</v>
      </c>
      <c r="BA35" s="185">
        <f t="shared" si="60"/>
        <v>149688.85618352744</v>
      </c>
      <c r="BB35" s="189">
        <f t="shared" si="60"/>
        <v>149688.85618352744</v>
      </c>
      <c r="BC35" s="185">
        <f t="shared" si="60"/>
        <v>149688.85618352744</v>
      </c>
      <c r="BD35" s="185">
        <f t="shared" si="60"/>
        <v>149688.85618352744</v>
      </c>
      <c r="BE35" s="185">
        <f t="shared" si="60"/>
        <v>149688.85618352744</v>
      </c>
      <c r="BF35" s="185">
        <f t="shared" ref="BF35:BK35" si="61">+BE35</f>
        <v>149688.85618352744</v>
      </c>
      <c r="BG35" s="185">
        <f t="shared" si="61"/>
        <v>149688.85618352744</v>
      </c>
      <c r="BH35" s="185">
        <f t="shared" si="61"/>
        <v>149688.85618352744</v>
      </c>
      <c r="BI35" s="185">
        <f t="shared" si="61"/>
        <v>149688.85618352744</v>
      </c>
      <c r="BJ35" s="185">
        <f t="shared" si="61"/>
        <v>149688.85618352744</v>
      </c>
      <c r="BK35" s="185">
        <f t="shared" si="61"/>
        <v>149688.85618352744</v>
      </c>
      <c r="BL35" s="185">
        <f t="shared" ref="BL35:BQ35" si="62">+BK35</f>
        <v>149688.85618352744</v>
      </c>
      <c r="BM35" s="185">
        <f t="shared" si="62"/>
        <v>149688.85618352744</v>
      </c>
      <c r="BN35" s="189">
        <f t="shared" si="62"/>
        <v>149688.85618352744</v>
      </c>
      <c r="BO35" s="185">
        <f t="shared" si="62"/>
        <v>149688.85618352744</v>
      </c>
      <c r="BP35" s="185">
        <f t="shared" si="62"/>
        <v>149688.85618352744</v>
      </c>
      <c r="BQ35" s="185">
        <f t="shared" si="62"/>
        <v>149688.85618352744</v>
      </c>
      <c r="BR35" s="185">
        <f t="shared" ref="BR35:BW35" si="63">+BQ35</f>
        <v>149688.85618352744</v>
      </c>
      <c r="BS35" s="185">
        <f t="shared" si="63"/>
        <v>149688.85618352744</v>
      </c>
      <c r="BT35" s="185">
        <f t="shared" si="63"/>
        <v>149688.85618352744</v>
      </c>
      <c r="BU35" s="185">
        <f t="shared" si="63"/>
        <v>149688.85618352744</v>
      </c>
      <c r="BV35" s="185">
        <f t="shared" si="63"/>
        <v>149688.85618352744</v>
      </c>
      <c r="BW35" s="185">
        <f t="shared" si="63"/>
        <v>149688.85618352744</v>
      </c>
      <c r="BX35" s="13">
        <f t="shared" ref="BX35:CD35" si="64">+BW35</f>
        <v>149688.85618352744</v>
      </c>
      <c r="BY35" s="185">
        <f t="shared" si="64"/>
        <v>149688.85618352744</v>
      </c>
      <c r="BZ35" s="185">
        <f t="shared" si="64"/>
        <v>149688.85618352744</v>
      </c>
      <c r="CA35" s="185">
        <f t="shared" si="64"/>
        <v>149688.85618352744</v>
      </c>
      <c r="CB35" s="185">
        <f t="shared" si="64"/>
        <v>149688.85618352744</v>
      </c>
      <c r="CC35" s="185">
        <f t="shared" si="64"/>
        <v>149688.85618352744</v>
      </c>
      <c r="CD35" s="185">
        <f t="shared" si="64"/>
        <v>149688.85618352744</v>
      </c>
      <c r="CE35" s="185">
        <f t="shared" ref="CE35:CJ35" si="65">+CD35</f>
        <v>149688.85618352744</v>
      </c>
      <c r="CF35" s="185">
        <f t="shared" si="65"/>
        <v>149688.85618352744</v>
      </c>
      <c r="CG35" s="185">
        <f t="shared" si="65"/>
        <v>149688.85618352744</v>
      </c>
      <c r="CH35" s="185">
        <f t="shared" si="65"/>
        <v>149688.85618352744</v>
      </c>
      <c r="CI35" s="13">
        <f t="shared" si="65"/>
        <v>149688.85618352744</v>
      </c>
      <c r="CJ35" s="185">
        <f t="shared" si="65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</row>
    <row r="36" spans="1:94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P36" si="66">+(CB10/C10)^(1/6)-1</f>
        <v>0.28990644446415725</v>
      </c>
      <c r="CC36" s="176">
        <f t="shared" si="66"/>
        <v>0.29575360707821496</v>
      </c>
      <c r="CD36" s="176">
        <f t="shared" si="66"/>
        <v>0.30429442401189433</v>
      </c>
      <c r="CE36" s="176">
        <f t="shared" si="66"/>
        <v>0.30528279829258786</v>
      </c>
      <c r="CF36" s="176">
        <f t="shared" si="66"/>
        <v>0.30776299934490581</v>
      </c>
      <c r="CG36" s="176">
        <f t="shared" si="66"/>
        <v>0.30932565131010259</v>
      </c>
      <c r="CH36" s="176">
        <f t="shared" si="66"/>
        <v>0.30627328739108028</v>
      </c>
      <c r="CI36" s="176">
        <f t="shared" si="66"/>
        <v>0.31100956299927329</v>
      </c>
      <c r="CJ36" s="176">
        <f t="shared" si="66"/>
        <v>0.311295499336536</v>
      </c>
      <c r="CK36" s="176">
        <f t="shared" si="66"/>
        <v>0.30873226260728504</v>
      </c>
      <c r="CL36" s="176">
        <f t="shared" si="66"/>
        <v>0.30380267704988295</v>
      </c>
      <c r="CM36" s="176">
        <f t="shared" si="66"/>
        <v>0.30282732747025642</v>
      </c>
      <c r="CN36" s="176">
        <f t="shared" si="66"/>
        <v>0.39662093332081683</v>
      </c>
      <c r="CO36" s="176">
        <v>0.39402871546799134</v>
      </c>
      <c r="CP36" s="176">
        <f t="shared" si="66"/>
        <v>0.38835545598832311</v>
      </c>
    </row>
    <row r="37" spans="1:94">
      <c r="M37" s="12"/>
    </row>
    <row r="38" spans="1:94">
      <c r="AA38" s="12"/>
    </row>
    <row r="40" spans="1:94">
      <c r="X40" s="12"/>
      <c r="BH40" s="309"/>
    </row>
    <row r="43" spans="1:94">
      <c r="AE43" s="1">
        <v>92</v>
      </c>
      <c r="AJ43" s="107">
        <v>3234.49</v>
      </c>
    </row>
    <row r="44" spans="1:94">
      <c r="AE44" s="1">
        <f>+AE43*0.66*0.25</f>
        <v>15.180000000000001</v>
      </c>
    </row>
    <row r="66" spans="2:91">
      <c r="B66" s="199" t="s">
        <v>174</v>
      </c>
      <c r="C66" s="12">
        <f>+C13</f>
        <v>45081.47</v>
      </c>
      <c r="D66" s="12">
        <f t="shared" ref="D66:BO66" si="67">+D13</f>
        <v>14907.71</v>
      </c>
      <c r="E66" s="12">
        <f t="shared" si="67"/>
        <v>27252.71</v>
      </c>
      <c r="F66" s="12">
        <f t="shared" si="67"/>
        <v>39742.230000000003</v>
      </c>
      <c r="G66" s="12">
        <f t="shared" si="67"/>
        <v>13642.12</v>
      </c>
      <c r="H66" s="12">
        <f t="shared" si="67"/>
        <v>29127.83</v>
      </c>
      <c r="I66" s="12">
        <f t="shared" si="67"/>
        <v>47956.31</v>
      </c>
      <c r="J66" s="12">
        <f t="shared" si="67"/>
        <v>73330.55</v>
      </c>
      <c r="K66" s="12">
        <f t="shared" si="67"/>
        <v>73330.55</v>
      </c>
      <c r="L66" s="12">
        <f t="shared" si="67"/>
        <v>85404.71</v>
      </c>
      <c r="M66" s="12">
        <f t="shared" si="67"/>
        <v>85404.71</v>
      </c>
      <c r="N66" s="12">
        <f t="shared" si="67"/>
        <v>85404.71</v>
      </c>
      <c r="O66" s="12">
        <f t="shared" si="67"/>
        <v>85404.71</v>
      </c>
      <c r="P66" s="12">
        <f t="shared" si="67"/>
        <v>91456.47</v>
      </c>
      <c r="Q66" s="12">
        <f t="shared" si="67"/>
        <v>91456.47</v>
      </c>
      <c r="R66" s="12">
        <f t="shared" si="67"/>
        <v>91456.47</v>
      </c>
      <c r="S66" s="12">
        <f t="shared" si="67"/>
        <v>91456.47</v>
      </c>
      <c r="T66" s="12">
        <f t="shared" si="67"/>
        <v>97661.32</v>
      </c>
      <c r="U66" s="12">
        <f t="shared" si="67"/>
        <v>97661.32</v>
      </c>
      <c r="V66" s="12">
        <f t="shared" si="67"/>
        <v>124409.8</v>
      </c>
      <c r="W66" s="12">
        <f t="shared" si="67"/>
        <v>124409.8</v>
      </c>
      <c r="X66" s="12">
        <f t="shared" si="67"/>
        <v>124409.8</v>
      </c>
      <c r="Y66" s="12">
        <f t="shared" si="67"/>
        <v>131476.73001995584</v>
      </c>
      <c r="Z66" s="12">
        <f t="shared" si="67"/>
        <v>137823.78433570397</v>
      </c>
      <c r="AA66" s="12">
        <f t="shared" si="67"/>
        <v>137823.78433570397</v>
      </c>
      <c r="AB66" s="12">
        <f t="shared" si="67"/>
        <v>137823.78433570397</v>
      </c>
      <c r="AC66" s="12">
        <f t="shared" si="67"/>
        <v>137823.78433570397</v>
      </c>
      <c r="AD66" s="12">
        <f t="shared" si="67"/>
        <v>137823.78433570397</v>
      </c>
      <c r="AE66" s="12">
        <f t="shared" si="67"/>
        <v>130068.33051296102</v>
      </c>
      <c r="AF66" s="12">
        <f t="shared" si="67"/>
        <v>130068.33051296102</v>
      </c>
      <c r="AG66" s="12">
        <f t="shared" si="67"/>
        <v>128368.89880197223</v>
      </c>
      <c r="AH66" s="12">
        <f t="shared" si="67"/>
        <v>115612.21572950466</v>
      </c>
      <c r="AI66" s="12">
        <f t="shared" si="67"/>
        <v>94510.365085740996</v>
      </c>
      <c r="AJ66" s="12">
        <f t="shared" si="67"/>
        <v>91671.595209058869</v>
      </c>
      <c r="AK66" s="12">
        <f t="shared" si="67"/>
        <v>109939.0400822752</v>
      </c>
      <c r="AL66" s="12">
        <f t="shared" si="67"/>
        <v>109914.09238732775</v>
      </c>
      <c r="AM66" s="12">
        <f t="shared" si="67"/>
        <v>119142.4425877027</v>
      </c>
      <c r="AN66" s="12">
        <f t="shared" si="67"/>
        <v>114355.73051842887</v>
      </c>
      <c r="AO66" s="12">
        <f t="shared" si="67"/>
        <v>114355.73051842887</v>
      </c>
      <c r="AP66" s="12">
        <f t="shared" si="67"/>
        <v>113232.51283602843</v>
      </c>
      <c r="AQ66" s="12">
        <f t="shared" si="67"/>
        <v>122788.27134433562</v>
      </c>
      <c r="AR66" s="12">
        <f t="shared" si="67"/>
        <v>133917.69318820868</v>
      </c>
      <c r="AS66" s="12">
        <f t="shared" si="67"/>
        <v>121778.26573662533</v>
      </c>
      <c r="AT66" s="12">
        <f t="shared" si="67"/>
        <v>121778.26573662533</v>
      </c>
      <c r="AU66" s="12">
        <f t="shared" si="67"/>
        <v>138527.04670933378</v>
      </c>
      <c r="AV66" s="12">
        <f t="shared" si="67"/>
        <v>130871.15840959529</v>
      </c>
      <c r="AW66" s="12">
        <f t="shared" si="67"/>
        <v>121805.18753022964</v>
      </c>
      <c r="AX66" s="12">
        <f t="shared" si="67"/>
        <v>107518.56434466105</v>
      </c>
      <c r="AY66" s="12">
        <f t="shared" si="67"/>
        <v>114505.66056821276</v>
      </c>
      <c r="AZ66" s="12">
        <f t="shared" si="67"/>
        <v>114505.66056821276</v>
      </c>
      <c r="BA66" s="12">
        <f t="shared" si="67"/>
        <v>114505.66056821276</v>
      </c>
      <c r="BB66" s="12">
        <f t="shared" si="67"/>
        <v>114505.66056821276</v>
      </c>
      <c r="BC66" s="12">
        <f t="shared" si="67"/>
        <v>114505.66056821276</v>
      </c>
      <c r="BD66" s="12">
        <f t="shared" si="67"/>
        <v>144863.86056821275</v>
      </c>
      <c r="BE66" s="12">
        <f t="shared" si="67"/>
        <v>144863.86056821275</v>
      </c>
      <c r="BF66" s="12">
        <f t="shared" si="67"/>
        <v>120929.71665912184</v>
      </c>
      <c r="BG66" s="12">
        <f t="shared" si="67"/>
        <v>80020.161150788495</v>
      </c>
      <c r="BH66" s="12">
        <f t="shared" si="67"/>
        <v>80020.161150788495</v>
      </c>
      <c r="BI66" s="12">
        <f t="shared" si="67"/>
        <v>80020.161150788495</v>
      </c>
      <c r="BJ66" s="12">
        <f t="shared" si="67"/>
        <v>57802.206559879414</v>
      </c>
      <c r="BK66" s="12">
        <f t="shared" si="67"/>
        <v>42278.450591794302</v>
      </c>
      <c r="BL66" s="12">
        <f t="shared" si="67"/>
        <v>42278.450591794302</v>
      </c>
      <c r="BM66" s="12">
        <f t="shared" si="67"/>
        <v>42278.450591794302</v>
      </c>
      <c r="BN66" s="12">
        <f t="shared" si="67"/>
        <v>48291.000591794305</v>
      </c>
      <c r="BO66" s="12">
        <f t="shared" si="67"/>
        <v>48291.000591794305</v>
      </c>
      <c r="BP66" s="12">
        <f t="shared" ref="BP66:CM66" si="68">+BP13</f>
        <v>48291.000591794305</v>
      </c>
      <c r="BQ66" s="12">
        <f t="shared" si="68"/>
        <v>31804.781148373255</v>
      </c>
      <c r="BR66" s="12">
        <f t="shared" si="68"/>
        <v>31804.781148373255</v>
      </c>
      <c r="BS66" s="12">
        <f t="shared" si="68"/>
        <v>31804.781148373255</v>
      </c>
      <c r="BT66" s="12">
        <f t="shared" si="68"/>
        <v>31804.781148373255</v>
      </c>
      <c r="BU66" s="12">
        <f t="shared" si="68"/>
        <v>64086.781148373251</v>
      </c>
      <c r="BV66" s="12">
        <f t="shared" si="68"/>
        <v>31804.781148373255</v>
      </c>
      <c r="BW66" s="12">
        <f t="shared" si="68"/>
        <v>58319.604848373245</v>
      </c>
      <c r="BX66" s="12">
        <f t="shared" si="68"/>
        <v>120593.89484837324</v>
      </c>
      <c r="BY66" s="12">
        <f t="shared" si="68"/>
        <v>112838.21651503992</v>
      </c>
      <c r="BZ66" s="12">
        <f t="shared" si="68"/>
        <v>84834.029848373248</v>
      </c>
      <c r="CA66" s="12">
        <f t="shared" si="68"/>
        <v>118224.78984837326</v>
      </c>
      <c r="CB66" s="12">
        <f t="shared" si="68"/>
        <v>111121.51984837327</v>
      </c>
      <c r="CC66" s="12">
        <f t="shared" si="68"/>
        <v>111121.51984837327</v>
      </c>
      <c r="CD66" s="12">
        <f t="shared" si="68"/>
        <v>114466.47484837325</v>
      </c>
      <c r="CE66" s="12">
        <f t="shared" si="68"/>
        <v>114466.47484837325</v>
      </c>
      <c r="CF66" s="12">
        <f t="shared" si="68"/>
        <v>114466.47484837325</v>
      </c>
      <c r="CG66" s="12">
        <f t="shared" si="68"/>
        <v>114466.47484837325</v>
      </c>
      <c r="CH66" s="12">
        <f t="shared" si="68"/>
        <v>135233.09359837329</v>
      </c>
      <c r="CI66" s="12">
        <f t="shared" si="68"/>
        <v>149458.26484837331</v>
      </c>
      <c r="CJ66" s="12">
        <f t="shared" si="68"/>
        <v>91063.404848373248</v>
      </c>
      <c r="CK66" s="12">
        <f t="shared" si="68"/>
        <v>164525.39500000002</v>
      </c>
      <c r="CL66" s="12">
        <f t="shared" si="68"/>
        <v>177509.99500000002</v>
      </c>
      <c r="CM66" s="12">
        <f t="shared" si="68"/>
        <v>177509.99500000002</v>
      </c>
    </row>
  </sheetData>
  <phoneticPr fontId="0" type="noConversion"/>
  <conditionalFormatting sqref="D33">
    <cfRule type="cellIs" dxfId="1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354</v>
      </c>
      <c r="C2" s="448">
        <v>0.24408458354432561</v>
      </c>
    </row>
    <row r="4" spans="2:4">
      <c r="B4" s="21" t="s">
        <v>435</v>
      </c>
      <c r="C4" s="218" t="s">
        <v>341</v>
      </c>
      <c r="D4" s="388" t="s">
        <v>355</v>
      </c>
    </row>
    <row r="5" spans="2:4">
      <c r="B5" s="206" t="s">
        <v>342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343</v>
      </c>
      <c r="C6" s="5">
        <v>9857.6299999999992</v>
      </c>
      <c r="D6" s="6">
        <f t="shared" si="0"/>
        <v>2406.0955132840504</v>
      </c>
    </row>
    <row r="7" spans="2:4">
      <c r="B7" s="207" t="s">
        <v>344</v>
      </c>
      <c r="C7" s="5">
        <v>54067.31</v>
      </c>
      <c r="D7" s="6">
        <f t="shared" si="0"/>
        <v>13196.99684471195</v>
      </c>
    </row>
    <row r="8" spans="2:4">
      <c r="B8" s="207" t="s">
        <v>345</v>
      </c>
      <c r="C8" s="5">
        <v>17003.66</v>
      </c>
      <c r="D8" s="6">
        <f t="shared" si="0"/>
        <v>4150.3312698293075</v>
      </c>
    </row>
    <row r="9" spans="2:4">
      <c r="B9" s="207" t="s">
        <v>346</v>
      </c>
      <c r="C9" s="5">
        <v>12328.82</v>
      </c>
      <c r="D9" s="6">
        <f t="shared" si="0"/>
        <v>3009.2748952929524</v>
      </c>
    </row>
    <row r="10" spans="2:4">
      <c r="B10" s="207" t="s">
        <v>347</v>
      </c>
      <c r="C10" s="5">
        <v>19223</v>
      </c>
      <c r="D10" s="6">
        <f t="shared" si="0"/>
        <v>4692.0379494725712</v>
      </c>
    </row>
    <row r="11" spans="2:4">
      <c r="B11" s="207" t="s">
        <v>348</v>
      </c>
      <c r="C11" s="5">
        <v>12328.82</v>
      </c>
      <c r="D11" s="6">
        <f t="shared" si="0"/>
        <v>3009.2748952929524</v>
      </c>
    </row>
    <row r="12" spans="2:4">
      <c r="B12" s="207" t="s">
        <v>349</v>
      </c>
      <c r="C12" s="5">
        <v>12328.82</v>
      </c>
      <c r="D12" s="6">
        <f t="shared" si="0"/>
        <v>3009.2748952929524</v>
      </c>
    </row>
    <row r="13" spans="2:4">
      <c r="B13" s="207" t="s">
        <v>350</v>
      </c>
      <c r="C13" s="5">
        <v>12329.82</v>
      </c>
      <c r="D13" s="6">
        <f t="shared" si="0"/>
        <v>3009.5189798764968</v>
      </c>
    </row>
    <row r="14" spans="2:4">
      <c r="B14" s="207" t="s">
        <v>351</v>
      </c>
      <c r="C14" s="5">
        <v>21906</v>
      </c>
      <c r="D14" s="6">
        <f t="shared" si="0"/>
        <v>5346.9168871219963</v>
      </c>
    </row>
    <row r="15" spans="2:4">
      <c r="B15" s="207" t="s">
        <v>352</v>
      </c>
      <c r="C15" s="5">
        <v>17258.650000000001</v>
      </c>
      <c r="D15" s="6">
        <f t="shared" si="0"/>
        <v>4212.5703977872754</v>
      </c>
    </row>
    <row r="16" spans="2:4">
      <c r="B16" s="208" t="s">
        <v>353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436</v>
      </c>
      <c r="C19" s="218"/>
      <c r="D19" s="388"/>
    </row>
    <row r="20" spans="2:5">
      <c r="B20" s="206" t="s">
        <v>437</v>
      </c>
      <c r="C20" s="60">
        <v>9790</v>
      </c>
      <c r="D20" s="97"/>
    </row>
    <row r="21" spans="2:5">
      <c r="B21" s="207" t="s">
        <v>438</v>
      </c>
      <c r="C21" s="5">
        <v>16166</v>
      </c>
      <c r="D21" s="6">
        <f>C21*$C$2</f>
        <v>3945.8713775775677</v>
      </c>
    </row>
    <row r="22" spans="2:5">
      <c r="B22" s="207" t="s">
        <v>439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442</v>
      </c>
      <c r="C25" s="185"/>
      <c r="D25" s="13">
        <f>+D23+D17</f>
        <v>51758.999999999993</v>
      </c>
      <c r="E25" s="450">
        <v>51759</v>
      </c>
    </row>
    <row r="26" spans="2:5">
      <c r="B26" s="413" t="s">
        <v>443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354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440</v>
      </c>
      <c r="C30" s="185">
        <f>+Otros!I116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441</v>
      </c>
      <c r="C33" s="198"/>
      <c r="D33" s="297">
        <v>45123</v>
      </c>
      <c r="E33" s="1">
        <v>45123</v>
      </c>
    </row>
    <row r="34" spans="2:5">
      <c r="B34" s="447" t="s">
        <v>443</v>
      </c>
      <c r="C34" s="451"/>
      <c r="D34" s="297">
        <f>+D26</f>
        <v>3140.6759999999999</v>
      </c>
      <c r="E34" s="1" t="s">
        <v>446</v>
      </c>
    </row>
    <row r="35" spans="2:5">
      <c r="B35" s="3"/>
      <c r="C35" s="5"/>
      <c r="D35" s="5"/>
    </row>
    <row r="36" spans="2:5">
      <c r="B36" s="206" t="s">
        <v>418</v>
      </c>
      <c r="C36" s="60"/>
      <c r="D36" s="358">
        <v>20676</v>
      </c>
      <c r="E36" s="1" t="s">
        <v>444</v>
      </c>
    </row>
    <row r="37" spans="2:5">
      <c r="B37" s="207" t="s">
        <v>419</v>
      </c>
      <c r="C37" s="5"/>
      <c r="D37" s="94">
        <v>14850</v>
      </c>
      <c r="E37" s="1" t="s">
        <v>445</v>
      </c>
    </row>
    <row r="38" spans="2:5">
      <c r="B38" s="208" t="s">
        <v>420</v>
      </c>
      <c r="C38" s="127"/>
      <c r="D38" s="423">
        <v>9597</v>
      </c>
      <c r="E38" s="452">
        <v>40071</v>
      </c>
    </row>
    <row r="39" spans="2:5">
      <c r="B39" s="413" t="s">
        <v>421</v>
      </c>
      <c r="C39" s="119"/>
      <c r="D39" s="13">
        <f>SUM(D36:D38)</f>
        <v>45123</v>
      </c>
    </row>
    <row r="40" spans="2:5">
      <c r="B40" s="208" t="s">
        <v>449</v>
      </c>
      <c r="C40" s="127"/>
      <c r="D40" s="444">
        <v>3141</v>
      </c>
      <c r="E40" s="1" t="s">
        <v>530</v>
      </c>
    </row>
    <row r="42" spans="2:5">
      <c r="B42" s="206" t="s">
        <v>447</v>
      </c>
      <c r="C42" s="120"/>
      <c r="D42" s="97">
        <f>+D33-D39</f>
        <v>0</v>
      </c>
    </row>
    <row r="43" spans="2:5">
      <c r="B43" s="208" t="s">
        <v>448</v>
      </c>
      <c r="C43" s="9"/>
      <c r="D43" s="11">
        <f>+D34-D40</f>
        <v>-0.32400000000006912</v>
      </c>
    </row>
    <row r="44" spans="2:5">
      <c r="B44" s="413" t="s">
        <v>422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365</v>
      </c>
    </row>
    <row r="48" spans="2:5">
      <c r="B48" s="422" t="s">
        <v>364</v>
      </c>
      <c r="C48" s="122"/>
      <c r="D48" s="358">
        <v>2000</v>
      </c>
    </row>
    <row r="49" spans="2:5">
      <c r="B49" s="99" t="s">
        <v>372</v>
      </c>
      <c r="C49" s="3"/>
      <c r="D49" s="94">
        <v>1000</v>
      </c>
    </row>
    <row r="50" spans="2:5">
      <c r="B50" s="410" t="s">
        <v>357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G68"/>
  <sheetViews>
    <sheetView showGridLines="0" workbookViewId="0">
      <selection activeCell="K55" sqref="K55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4" t="s">
        <v>669</v>
      </c>
      <c r="C2" s="655">
        <v>0.246</v>
      </c>
    </row>
    <row r="4" spans="2:7">
      <c r="B4" s="21" t="s">
        <v>435</v>
      </c>
      <c r="C4" s="218" t="s">
        <v>638</v>
      </c>
      <c r="D4" s="388" t="s">
        <v>355</v>
      </c>
    </row>
    <row r="5" spans="2:7">
      <c r="B5" s="206" t="s">
        <v>342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343</v>
      </c>
      <c r="C6" s="5">
        <v>12513</v>
      </c>
      <c r="D6" s="6">
        <f t="shared" si="0"/>
        <v>3078.1979999999999</v>
      </c>
    </row>
    <row r="7" spans="2:7">
      <c r="B7" s="207" t="s">
        <v>344</v>
      </c>
      <c r="C7" s="5">
        <v>12155</v>
      </c>
      <c r="D7" s="6">
        <f t="shared" si="0"/>
        <v>2990.13</v>
      </c>
    </row>
    <row r="8" spans="2:7">
      <c r="B8" s="207" t="s">
        <v>345</v>
      </c>
      <c r="C8" s="5">
        <v>12302</v>
      </c>
      <c r="D8" s="6">
        <f t="shared" si="0"/>
        <v>3026.2919999999999</v>
      </c>
    </row>
    <row r="9" spans="2:7">
      <c r="B9" s="207" t="s">
        <v>637</v>
      </c>
      <c r="C9" s="5">
        <v>82019</v>
      </c>
      <c r="D9" s="6">
        <f t="shared" si="0"/>
        <v>20176.673999999999</v>
      </c>
    </row>
    <row r="10" spans="2:7">
      <c r="B10" s="207" t="s">
        <v>347</v>
      </c>
      <c r="C10" s="5">
        <v>20887</v>
      </c>
      <c r="D10" s="6">
        <f t="shared" si="0"/>
        <v>5138.2020000000002</v>
      </c>
    </row>
    <row r="11" spans="2:7">
      <c r="B11" s="207" t="s">
        <v>348</v>
      </c>
      <c r="C11" s="5">
        <v>12651</v>
      </c>
      <c r="D11" s="6">
        <f t="shared" si="0"/>
        <v>3112.1459999999997</v>
      </c>
    </row>
    <row r="12" spans="2:7">
      <c r="B12" s="207" t="s">
        <v>349</v>
      </c>
      <c r="C12" s="5">
        <v>12768</v>
      </c>
      <c r="D12" s="6">
        <f t="shared" si="0"/>
        <v>3140.9279999999999</v>
      </c>
    </row>
    <row r="13" spans="2:7">
      <c r="B13" s="207" t="s">
        <v>350</v>
      </c>
      <c r="C13" s="5">
        <v>12768</v>
      </c>
      <c r="D13" s="6">
        <f t="shared" si="0"/>
        <v>3140.9279999999999</v>
      </c>
    </row>
    <row r="14" spans="2:7">
      <c r="B14" s="207" t="s">
        <v>351</v>
      </c>
      <c r="C14" s="453">
        <v>22952</v>
      </c>
      <c r="D14" s="6">
        <f t="shared" si="0"/>
        <v>5646.192</v>
      </c>
    </row>
    <row r="15" spans="2:7">
      <c r="B15" s="207" t="s">
        <v>352</v>
      </c>
      <c r="C15" s="5">
        <v>17992</v>
      </c>
      <c r="D15" s="6">
        <f t="shared" si="0"/>
        <v>4426.0320000000002</v>
      </c>
    </row>
    <row r="16" spans="2:7">
      <c r="B16" s="208" t="s">
        <v>353</v>
      </c>
      <c r="C16" s="5">
        <v>13434</v>
      </c>
      <c r="D16" s="11">
        <f t="shared" si="0"/>
        <v>3304.7640000000001</v>
      </c>
      <c r="G16" s="547"/>
    </row>
    <row r="17" spans="1:5" ht="12" customHeight="1">
      <c r="A17" s="657" t="s">
        <v>87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666</v>
      </c>
      <c r="C19" s="218"/>
      <c r="D19" s="388"/>
      <c r="E19" s="12"/>
    </row>
    <row r="20" spans="1:5">
      <c r="A20" s="21"/>
      <c r="B20" s="206" t="s">
        <v>668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439</v>
      </c>
      <c r="C21" s="656">
        <v>0</v>
      </c>
      <c r="D21" s="11">
        <f t="shared" si="1"/>
        <v>0</v>
      </c>
      <c r="E21" s="12"/>
    </row>
    <row r="22" spans="1:5">
      <c r="A22" s="657" t="s">
        <v>89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672</v>
      </c>
      <c r="B24" s="413" t="s">
        <v>671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7" t="s">
        <v>673</v>
      </c>
      <c r="B26" s="413" t="s">
        <v>437</v>
      </c>
      <c r="C26" s="87">
        <v>37946</v>
      </c>
      <c r="D26" s="13">
        <f>+C26*E26</f>
        <v>6830.28</v>
      </c>
      <c r="E26" s="658">
        <v>0.18</v>
      </c>
    </row>
    <row r="27" spans="1:5">
      <c r="B27" s="3"/>
      <c r="C27" s="5"/>
      <c r="D27" s="5"/>
    </row>
    <row r="28" spans="1:5">
      <c r="A28" s="657" t="s">
        <v>674</v>
      </c>
      <c r="B28" s="413" t="s">
        <v>442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440</v>
      </c>
      <c r="C30" s="5"/>
      <c r="D30" s="5"/>
    </row>
    <row r="31" spans="1:5">
      <c r="B31" s="3"/>
      <c r="C31" s="5"/>
      <c r="D31" s="5"/>
    </row>
    <row r="32" spans="1:5">
      <c r="B32" s="561" t="s">
        <v>537</v>
      </c>
      <c r="C32" s="562"/>
      <c r="D32" s="563"/>
    </row>
    <row r="33" spans="1:5">
      <c r="A33" s="309">
        <v>1.25</v>
      </c>
      <c r="B33" s="207" t="s">
        <v>534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535</v>
      </c>
      <c r="C34" s="55">
        <v>16000</v>
      </c>
      <c r="D34" s="6">
        <f>+A34*C34</f>
        <v>15520</v>
      </c>
    </row>
    <row r="35" spans="1:5">
      <c r="A35" s="309"/>
      <c r="B35" s="208" t="s">
        <v>538</v>
      </c>
      <c r="C35" s="72">
        <v>0</v>
      </c>
      <c r="D35" s="11">
        <f>SUM(D33:D34)</f>
        <v>35520</v>
      </c>
    </row>
    <row r="36" spans="1:5">
      <c r="A36" s="309"/>
      <c r="B36" s="561" t="s">
        <v>539</v>
      </c>
      <c r="C36" s="562"/>
      <c r="D36" s="563"/>
    </row>
    <row r="37" spans="1:5">
      <c r="A37" s="309">
        <v>0.48</v>
      </c>
      <c r="B37" s="207" t="s">
        <v>531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532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536</v>
      </c>
      <c r="C39" s="5">
        <v>14350</v>
      </c>
      <c r="D39" s="6">
        <f>+A39*C39</f>
        <v>3587.5</v>
      </c>
    </row>
    <row r="40" spans="1:5">
      <c r="A40" s="309"/>
      <c r="B40" s="208" t="s">
        <v>538</v>
      </c>
      <c r="C40" s="72">
        <f>SUM(C37:C39)</f>
        <v>34700</v>
      </c>
      <c r="D40" s="11">
        <f>SUM(D37:D39)</f>
        <v>10055</v>
      </c>
    </row>
    <row r="41" spans="1:5">
      <c r="A41" s="657" t="s">
        <v>677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7" t="s">
        <v>678</v>
      </c>
      <c r="B43" s="413" t="s">
        <v>675</v>
      </c>
      <c r="C43" s="87"/>
      <c r="D43" s="13">
        <v>1042</v>
      </c>
      <c r="E43" s="1" t="s">
        <v>676</v>
      </c>
    </row>
    <row r="44" spans="1:5">
      <c r="B44" s="3"/>
      <c r="C44" s="5"/>
      <c r="D44" s="5"/>
    </row>
    <row r="45" spans="1:5">
      <c r="A45" s="657" t="s">
        <v>679</v>
      </c>
      <c r="B45" s="447" t="s">
        <v>667</v>
      </c>
      <c r="C45" s="198"/>
      <c r="D45" s="297">
        <f>+D28-D41-D43</f>
        <v>21164.65572000001</v>
      </c>
    </row>
    <row r="47" spans="1:5">
      <c r="B47" s="654" t="s">
        <v>670</v>
      </c>
      <c r="C47" s="655">
        <f>3.4%+8.2%+0.5%</f>
        <v>0.121</v>
      </c>
    </row>
    <row r="49" spans="1:5">
      <c r="B49" s="206" t="s">
        <v>437</v>
      </c>
      <c r="C49" s="60">
        <f>+C26</f>
        <v>37946</v>
      </c>
      <c r="D49" s="97">
        <f>+C49*$C$47</f>
        <v>4591.4659999999994</v>
      </c>
    </row>
    <row r="50" spans="1:5">
      <c r="B50" s="207" t="s">
        <v>438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439</v>
      </c>
      <c r="C51" s="5">
        <f>+C21</f>
        <v>0</v>
      </c>
      <c r="D51" s="6">
        <f t="shared" si="2"/>
        <v>0</v>
      </c>
    </row>
    <row r="52" spans="1:5">
      <c r="A52" s="657" t="s">
        <v>680</v>
      </c>
      <c r="B52" s="447" t="s">
        <v>443</v>
      </c>
      <c r="C52" s="451"/>
      <c r="D52" s="13">
        <f>SUM(D49:D51)</f>
        <v>4954.4659999999994</v>
      </c>
      <c r="E52" s="1" t="s">
        <v>446</v>
      </c>
    </row>
    <row r="53" spans="1:5">
      <c r="B53" s="3"/>
      <c r="C53" s="5"/>
      <c r="D53" s="5"/>
    </row>
    <row r="54" spans="1:5">
      <c r="B54" s="206" t="s">
        <v>418</v>
      </c>
      <c r="C54" s="60"/>
      <c r="D54" s="358">
        <v>7000</v>
      </c>
      <c r="E54" s="1" t="s">
        <v>444</v>
      </c>
    </row>
    <row r="55" spans="1:5">
      <c r="B55" s="207" t="s">
        <v>419</v>
      </c>
      <c r="C55" s="5"/>
      <c r="D55" s="94">
        <v>7000</v>
      </c>
      <c r="E55" s="1" t="s">
        <v>445</v>
      </c>
    </row>
    <row r="56" spans="1:5">
      <c r="B56" s="208" t="s">
        <v>420</v>
      </c>
      <c r="C56" s="127"/>
      <c r="D56" s="444">
        <v>0</v>
      </c>
      <c r="E56" s="1" t="s">
        <v>446</v>
      </c>
    </row>
    <row r="57" spans="1:5">
      <c r="B57" s="413" t="s">
        <v>421</v>
      </c>
      <c r="C57" s="119"/>
      <c r="D57" s="13">
        <f>SUM(D54:D56)</f>
        <v>14000</v>
      </c>
    </row>
    <row r="58" spans="1:5">
      <c r="B58" s="208" t="s">
        <v>449</v>
      </c>
      <c r="C58" s="127"/>
      <c r="D58" s="444">
        <v>0</v>
      </c>
    </row>
    <row r="60" spans="1:5">
      <c r="B60" s="206" t="s">
        <v>447</v>
      </c>
      <c r="C60" s="120"/>
      <c r="D60" s="97">
        <f>+D45-D57</f>
        <v>7164.6557200000098</v>
      </c>
    </row>
    <row r="61" spans="1:5">
      <c r="B61" s="208" t="s">
        <v>448</v>
      </c>
      <c r="C61" s="9"/>
      <c r="D61" s="11">
        <f>+D52-D58</f>
        <v>4954.4659999999994</v>
      </c>
    </row>
    <row r="62" spans="1:5">
      <c r="B62" s="413" t="s">
        <v>422</v>
      </c>
      <c r="C62" s="119"/>
      <c r="D62" s="13">
        <f>+D60+D61</f>
        <v>12119.12172000001</v>
      </c>
    </row>
    <row r="63" spans="1:5">
      <c r="B63" s="3"/>
    </row>
    <row r="65" spans="2:5">
      <c r="B65" s="1" t="s">
        <v>365</v>
      </c>
    </row>
    <row r="66" spans="2:5">
      <c r="B66" s="422" t="s">
        <v>364</v>
      </c>
      <c r="C66" s="122"/>
      <c r="D66" s="358">
        <v>1510</v>
      </c>
      <c r="E66" s="1" t="s">
        <v>528</v>
      </c>
    </row>
    <row r="67" spans="2:5">
      <c r="B67" s="99" t="s">
        <v>372</v>
      </c>
      <c r="C67" s="3"/>
      <c r="D67" s="94">
        <v>1000</v>
      </c>
      <c r="E67" s="1" t="s">
        <v>528</v>
      </c>
    </row>
    <row r="68" spans="2:5">
      <c r="B68" s="410" t="s">
        <v>357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34" workbookViewId="0">
      <selection activeCell="F23" sqref="F2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4" t="s">
        <v>669</v>
      </c>
      <c r="C2" s="655">
        <v>0.20499999999999999</v>
      </c>
    </row>
    <row r="4" spans="2:11">
      <c r="B4" s="21" t="s">
        <v>435</v>
      </c>
      <c r="C4" s="218" t="s">
        <v>638</v>
      </c>
      <c r="D4" s="388" t="s">
        <v>355</v>
      </c>
    </row>
    <row r="5" spans="2:11">
      <c r="B5" s="206" t="s">
        <v>342</v>
      </c>
      <c r="C5" s="60">
        <v>12928.04</v>
      </c>
      <c r="D5" s="97">
        <f t="shared" ref="D5:D16" si="0">C5*$C$2</f>
        <v>2650.2482</v>
      </c>
      <c r="K5" s="660">
        <v>12928.04</v>
      </c>
    </row>
    <row r="6" spans="2:11">
      <c r="B6" s="207" t="s">
        <v>681</v>
      </c>
      <c r="C6" s="5">
        <v>14980.13</v>
      </c>
      <c r="D6" s="6">
        <f t="shared" si="0"/>
        <v>3070.9266499999994</v>
      </c>
      <c r="K6" s="661">
        <v>14980.13</v>
      </c>
    </row>
    <row r="7" spans="2:11">
      <c r="B7" s="207" t="s">
        <v>343</v>
      </c>
      <c r="C7" s="5">
        <v>13199.34</v>
      </c>
      <c r="D7" s="6">
        <f t="shared" si="0"/>
        <v>2705.8647000000001</v>
      </c>
      <c r="K7" s="661">
        <v>13199.34</v>
      </c>
    </row>
    <row r="8" spans="2:11">
      <c r="B8" s="207" t="s">
        <v>682</v>
      </c>
      <c r="C8" s="5">
        <v>13199.34</v>
      </c>
      <c r="D8" s="6">
        <f t="shared" si="0"/>
        <v>2705.8647000000001</v>
      </c>
      <c r="K8" s="662">
        <v>13199.34</v>
      </c>
    </row>
    <row r="9" spans="2:11">
      <c r="B9" s="207" t="s">
        <v>637</v>
      </c>
      <c r="C9" s="5">
        <v>614613.33363679994</v>
      </c>
      <c r="D9" s="6">
        <f t="shared" si="0"/>
        <v>125995.73339554398</v>
      </c>
      <c r="E9" s="21" t="s">
        <v>640</v>
      </c>
      <c r="F9" s="1" t="s">
        <v>639</v>
      </c>
    </row>
    <row r="10" spans="2:11">
      <c r="B10" s="207" t="s">
        <v>347</v>
      </c>
      <c r="C10" s="5"/>
      <c r="D10" s="6">
        <f t="shared" si="0"/>
        <v>0</v>
      </c>
    </row>
    <row r="11" spans="2:11">
      <c r="B11" s="207" t="s">
        <v>348</v>
      </c>
      <c r="C11" s="5"/>
      <c r="D11" s="6">
        <f t="shared" si="0"/>
        <v>0</v>
      </c>
    </row>
    <row r="12" spans="2:11">
      <c r="B12" s="207" t="s">
        <v>349</v>
      </c>
      <c r="C12" s="5"/>
      <c r="D12" s="6">
        <f t="shared" si="0"/>
        <v>0</v>
      </c>
    </row>
    <row r="13" spans="2:11">
      <c r="B13" s="207" t="s">
        <v>350</v>
      </c>
      <c r="C13" s="5"/>
      <c r="D13" s="6">
        <f t="shared" si="0"/>
        <v>0</v>
      </c>
    </row>
    <row r="14" spans="2:11">
      <c r="B14" s="207" t="s">
        <v>351</v>
      </c>
      <c r="C14" s="453"/>
      <c r="D14" s="6">
        <f t="shared" si="0"/>
        <v>0</v>
      </c>
    </row>
    <row r="15" spans="2:11">
      <c r="B15" s="207" t="s">
        <v>352</v>
      </c>
      <c r="C15" s="5"/>
      <c r="D15" s="6">
        <f t="shared" si="0"/>
        <v>0</v>
      </c>
    </row>
    <row r="16" spans="2:11">
      <c r="B16" s="208" t="s">
        <v>353</v>
      </c>
      <c r="C16" s="5"/>
      <c r="D16" s="11">
        <f t="shared" si="0"/>
        <v>0</v>
      </c>
      <c r="G16" s="547"/>
    </row>
    <row r="17" spans="1:5" ht="12" customHeight="1">
      <c r="A17" s="657" t="s">
        <v>87</v>
      </c>
      <c r="B17" s="413" t="s">
        <v>18</v>
      </c>
      <c r="C17" s="185">
        <f>SUM(C5:C16)</f>
        <v>668920.18363679992</v>
      </c>
      <c r="D17" s="13">
        <f>SUM(D5:D16)</f>
        <v>137128.63764554399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666</v>
      </c>
      <c r="C19" s="218"/>
      <c r="D19" s="388"/>
      <c r="E19" s="12"/>
    </row>
    <row r="20" spans="1:5">
      <c r="A20" s="21"/>
      <c r="B20" s="206" t="s">
        <v>668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439</v>
      </c>
      <c r="C21" s="656">
        <v>0</v>
      </c>
      <c r="D21" s="11">
        <f t="shared" si="1"/>
        <v>0</v>
      </c>
      <c r="E21" s="12"/>
    </row>
    <row r="22" spans="1:5">
      <c r="A22" s="657" t="s">
        <v>89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672</v>
      </c>
      <c r="B24" s="413" t="s">
        <v>671</v>
      </c>
      <c r="C24" s="185">
        <f>+C22+C17</f>
        <v>668920.18363679992</v>
      </c>
      <c r="D24" s="13">
        <f>+D22+D17</f>
        <v>137128.63764554399</v>
      </c>
      <c r="E24" s="12"/>
    </row>
    <row r="25" spans="1:5">
      <c r="B25" s="3"/>
      <c r="C25" s="5"/>
      <c r="D25" s="5"/>
      <c r="E25" s="5"/>
    </row>
    <row r="26" spans="1:5">
      <c r="A26" s="657" t="s">
        <v>673</v>
      </c>
      <c r="B26" s="413" t="s">
        <v>437</v>
      </c>
      <c r="C26" s="87">
        <v>0</v>
      </c>
      <c r="D26" s="13">
        <f>+C26*E26</f>
        <v>0</v>
      </c>
      <c r="E26" s="658">
        <v>0.18</v>
      </c>
    </row>
    <row r="27" spans="1:5">
      <c r="B27" s="3"/>
      <c r="C27" s="5"/>
      <c r="D27" s="5"/>
    </row>
    <row r="28" spans="1:5">
      <c r="A28" s="657" t="s">
        <v>674</v>
      </c>
      <c r="B28" s="413" t="s">
        <v>442</v>
      </c>
      <c r="C28" s="185"/>
      <c r="D28" s="13">
        <f>+D26+D24</f>
        <v>137128.63764554399</v>
      </c>
    </row>
    <row r="29" spans="1:5">
      <c r="B29" s="3"/>
      <c r="C29" s="5"/>
      <c r="D29" s="5"/>
    </row>
    <row r="30" spans="1:5">
      <c r="B30" s="413" t="s">
        <v>440</v>
      </c>
      <c r="C30" s="5"/>
      <c r="D30" s="5"/>
    </row>
    <row r="31" spans="1:5">
      <c r="B31" s="3"/>
      <c r="C31" s="5"/>
      <c r="D31" s="5"/>
    </row>
    <row r="32" spans="1:5">
      <c r="B32" s="561" t="s">
        <v>537</v>
      </c>
      <c r="C32" s="562"/>
      <c r="D32" s="563"/>
    </row>
    <row r="33" spans="1:5">
      <c r="A33" s="309">
        <v>1.25</v>
      </c>
      <c r="B33" s="207" t="s">
        <v>534</v>
      </c>
      <c r="C33" s="55">
        <v>0</v>
      </c>
      <c r="D33" s="6">
        <f>+A33*C33</f>
        <v>0</v>
      </c>
    </row>
    <row r="34" spans="1:5">
      <c r="A34" s="309">
        <v>0.97</v>
      </c>
      <c r="B34" s="207" t="s">
        <v>535</v>
      </c>
      <c r="C34" s="55">
        <v>0</v>
      </c>
      <c r="D34" s="6">
        <f>+A34*C34</f>
        <v>0</v>
      </c>
    </row>
    <row r="35" spans="1:5">
      <c r="A35" s="309"/>
      <c r="B35" s="208" t="s">
        <v>538</v>
      </c>
      <c r="C35" s="72">
        <v>0</v>
      </c>
      <c r="D35" s="11">
        <f>SUM(D33:D34)</f>
        <v>0</v>
      </c>
    </row>
    <row r="36" spans="1:5">
      <c r="A36" s="309"/>
      <c r="B36" s="561" t="s">
        <v>539</v>
      </c>
      <c r="C36" s="562"/>
      <c r="D36" s="563"/>
    </row>
    <row r="37" spans="1:5">
      <c r="A37" s="309">
        <v>0.48</v>
      </c>
      <c r="B37" s="207" t="s">
        <v>531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532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536</v>
      </c>
      <c r="C39" s="5">
        <v>0</v>
      </c>
      <c r="D39" s="6">
        <f>+A39*C39</f>
        <v>0</v>
      </c>
    </row>
    <row r="40" spans="1:5">
      <c r="A40" s="309"/>
      <c r="B40" s="208" t="s">
        <v>538</v>
      </c>
      <c r="C40" s="72">
        <f>SUM(C37:C39)</f>
        <v>0</v>
      </c>
      <c r="D40" s="11">
        <f>SUM(D37:D39)</f>
        <v>0</v>
      </c>
    </row>
    <row r="41" spans="1:5">
      <c r="A41" s="657" t="s">
        <v>677</v>
      </c>
      <c r="B41" s="413" t="s">
        <v>18</v>
      </c>
      <c r="C41" s="185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57" t="s">
        <v>678</v>
      </c>
      <c r="B43" s="413" t="s">
        <v>675</v>
      </c>
      <c r="C43" s="87"/>
      <c r="D43" s="659">
        <v>0</v>
      </c>
      <c r="E43" s="1" t="s">
        <v>676</v>
      </c>
    </row>
    <row r="44" spans="1:5">
      <c r="B44" s="3"/>
      <c r="C44" s="5"/>
      <c r="D44" s="5"/>
    </row>
    <row r="45" spans="1:5">
      <c r="A45" s="657" t="s">
        <v>679</v>
      </c>
      <c r="B45" s="447" t="s">
        <v>667</v>
      </c>
      <c r="C45" s="198"/>
      <c r="D45" s="297">
        <f>+D28-D41-D43</f>
        <v>137128.63764554399</v>
      </c>
    </row>
    <row r="47" spans="1:5">
      <c r="B47" s="654" t="s">
        <v>670</v>
      </c>
      <c r="C47" s="655">
        <f>3.4%+8.2%+0.5%</f>
        <v>0.121</v>
      </c>
    </row>
    <row r="49" spans="1:5">
      <c r="B49" s="206" t="s">
        <v>437</v>
      </c>
      <c r="C49" s="60">
        <f>+C26</f>
        <v>0</v>
      </c>
      <c r="D49" s="97">
        <f>+C49*$C$47</f>
        <v>0</v>
      </c>
    </row>
    <row r="50" spans="1:5">
      <c r="B50" s="207" t="s">
        <v>438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439</v>
      </c>
      <c r="C51" s="5">
        <f>+C21</f>
        <v>0</v>
      </c>
      <c r="D51" s="6">
        <f t="shared" si="2"/>
        <v>0</v>
      </c>
    </row>
    <row r="52" spans="1:5">
      <c r="A52" s="657" t="s">
        <v>680</v>
      </c>
      <c r="B52" s="447" t="s">
        <v>443</v>
      </c>
      <c r="C52" s="451"/>
      <c r="D52" s="13">
        <f>SUM(D49:D51)</f>
        <v>0</v>
      </c>
      <c r="E52" s="1" t="s">
        <v>446</v>
      </c>
    </row>
    <row r="53" spans="1:5">
      <c r="B53" s="3"/>
      <c r="C53" s="5"/>
      <c r="D53" s="5"/>
    </row>
    <row r="54" spans="1:5">
      <c r="B54" s="206" t="s">
        <v>418</v>
      </c>
      <c r="C54" s="60"/>
      <c r="D54" s="358">
        <v>0</v>
      </c>
      <c r="E54" s="1" t="s">
        <v>444</v>
      </c>
    </row>
    <row r="55" spans="1:5">
      <c r="B55" s="207" t="s">
        <v>419</v>
      </c>
      <c r="C55" s="5"/>
      <c r="D55" s="94">
        <v>0</v>
      </c>
      <c r="E55" s="1" t="s">
        <v>445</v>
      </c>
    </row>
    <row r="56" spans="1:5">
      <c r="B56" s="208" t="s">
        <v>420</v>
      </c>
      <c r="C56" s="127"/>
      <c r="D56" s="444">
        <v>0</v>
      </c>
      <c r="E56" s="1" t="s">
        <v>446</v>
      </c>
    </row>
    <row r="57" spans="1:5">
      <c r="B57" s="413" t="s">
        <v>421</v>
      </c>
      <c r="C57" s="119"/>
      <c r="D57" s="13">
        <f>SUM(D54:D56)</f>
        <v>0</v>
      </c>
    </row>
    <row r="58" spans="1:5">
      <c r="B58" s="208" t="s">
        <v>449</v>
      </c>
      <c r="C58" s="127"/>
      <c r="D58" s="444">
        <v>0</v>
      </c>
    </row>
    <row r="60" spans="1:5">
      <c r="B60" s="206" t="s">
        <v>447</v>
      </c>
      <c r="C60" s="120"/>
      <c r="D60" s="97">
        <f>+D45-D57</f>
        <v>137128.63764554399</v>
      </c>
    </row>
    <row r="61" spans="1:5">
      <c r="B61" s="208" t="s">
        <v>448</v>
      </c>
      <c r="C61" s="9"/>
      <c r="D61" s="11">
        <f>+D52-D58</f>
        <v>0</v>
      </c>
    </row>
    <row r="62" spans="1:5">
      <c r="B62" s="413" t="s">
        <v>422</v>
      </c>
      <c r="C62" s="119"/>
      <c r="D62" s="13">
        <f>+D60+D61</f>
        <v>137128.63764554399</v>
      </c>
    </row>
    <row r="63" spans="1:5">
      <c r="B63" s="3"/>
    </row>
    <row r="65" spans="2:5">
      <c r="B65" s="1" t="s">
        <v>365</v>
      </c>
    </row>
    <row r="66" spans="2:5">
      <c r="B66" s="422" t="s">
        <v>364</v>
      </c>
      <c r="C66" s="122"/>
      <c r="D66" s="358">
        <v>1510</v>
      </c>
      <c r="E66" s="1" t="s">
        <v>528</v>
      </c>
    </row>
    <row r="67" spans="2:5">
      <c r="B67" s="99" t="s">
        <v>372</v>
      </c>
      <c r="C67" s="3"/>
      <c r="D67" s="94">
        <v>1000</v>
      </c>
      <c r="E67" s="1" t="s">
        <v>528</v>
      </c>
    </row>
    <row r="68" spans="2:5">
      <c r="B68" s="410" t="s">
        <v>357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8</vt:i4>
      </vt:variant>
    </vt:vector>
  </HeadingPairs>
  <TitlesOfParts>
    <vt:vector size="24" baseType="lpstr">
      <vt:lpstr>Patr.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2010-07-08T19:54:13Z</dcterms:modified>
</cp:coreProperties>
</file>