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15195" windowHeight="11760"/>
  </bookViews>
  <sheets>
    <sheet name="2010" sheetId="9" r:id="rId1"/>
    <sheet name="Direct" sheetId="7" r:id="rId2"/>
    <sheet name="Ord" sheetId="8" r:id="rId3"/>
    <sheet name="Extr" sheetId="4" r:id="rId4"/>
    <sheet name="2011" sheetId="10" r:id="rId5"/>
    <sheet name="Ord 11" sheetId="11" r:id="rId6"/>
    <sheet name="Prinicpios" sheetId="2" r:id="rId7"/>
    <sheet name="Tesoreria" sheetId="12" r:id="rId8"/>
  </sheets>
  <definedNames>
    <definedName name="_xlnm.Print_Area" localSheetId="0">'2010'!$B$1:$K$89</definedName>
  </definedNames>
  <calcPr calcId="125725"/>
</workbook>
</file>

<file path=xl/calcChain.xml><?xml version="1.0" encoding="utf-8"?>
<calcChain xmlns="http://schemas.openxmlformats.org/spreadsheetml/2006/main">
  <c r="F112" i="9"/>
  <c r="H105"/>
  <c r="H106" s="1"/>
  <c r="H104"/>
  <c r="M98"/>
  <c r="G104"/>
  <c r="J40"/>
  <c r="P61"/>
  <c r="G112" l="1"/>
  <c r="D25" i="7"/>
  <c r="D25" i="4"/>
  <c r="D25" i="8"/>
  <c r="O72" i="9"/>
  <c r="O74"/>
  <c r="O75"/>
  <c r="O76"/>
  <c r="J52"/>
  <c r="J51"/>
  <c r="J50"/>
  <c r="J49"/>
  <c r="F39"/>
  <c r="F39" i="10" s="1"/>
  <c r="J40"/>
  <c r="J67" s="1"/>
  <c r="J68" s="1"/>
  <c r="I40"/>
  <c r="I67" s="1"/>
  <c r="I68" s="1"/>
  <c r="G40"/>
  <c r="F40"/>
  <c r="F67" s="1"/>
  <c r="F68" s="1"/>
  <c r="F79" s="1"/>
  <c r="I39"/>
  <c r="G39"/>
  <c r="J38"/>
  <c r="I38"/>
  <c r="H38"/>
  <c r="G38"/>
  <c r="F38"/>
  <c r="J37"/>
  <c r="I37"/>
  <c r="H37"/>
  <c r="G37"/>
  <c r="F37"/>
  <c r="J36"/>
  <c r="I36"/>
  <c r="H36"/>
  <c r="G36"/>
  <c r="F36"/>
  <c r="J35"/>
  <c r="I35"/>
  <c r="H35"/>
  <c r="G35"/>
  <c r="F35"/>
  <c r="G39" i="9"/>
  <c r="G37"/>
  <c r="F57" i="10"/>
  <c r="F56"/>
  <c r="F55"/>
  <c r="F54"/>
  <c r="F53"/>
  <c r="F52"/>
  <c r="F51"/>
  <c r="F50"/>
  <c r="F49"/>
  <c r="F48"/>
  <c r="F47"/>
  <c r="F46"/>
  <c r="R48"/>
  <c r="O49"/>
  <c r="F52" i="9"/>
  <c r="F51"/>
  <c r="G53"/>
  <c r="G60"/>
  <c r="G61"/>
  <c r="F50"/>
  <c r="F49"/>
  <c r="R48"/>
  <c r="O49"/>
  <c r="R50"/>
  <c r="J7"/>
  <c r="H7"/>
  <c r="F7"/>
  <c r="G7"/>
  <c r="E17" i="4"/>
  <c r="D16"/>
  <c r="E20"/>
  <c r="E9"/>
  <c r="E8"/>
  <c r="I8" s="1"/>
  <c r="J8" s="1"/>
  <c r="D8"/>
  <c r="G8"/>
  <c r="G9"/>
  <c r="E10"/>
  <c r="G10"/>
  <c r="E11"/>
  <c r="D10"/>
  <c r="I10" s="1"/>
  <c r="G11"/>
  <c r="E12"/>
  <c r="G12"/>
  <c r="E16" i="8"/>
  <c r="I16" s="1"/>
  <c r="J16" s="1"/>
  <c r="D16"/>
  <c r="E18"/>
  <c r="G19"/>
  <c r="E20"/>
  <c r="E9"/>
  <c r="E8"/>
  <c r="D8"/>
  <c r="I8"/>
  <c r="J8" s="1"/>
  <c r="G8"/>
  <c r="G9"/>
  <c r="E10"/>
  <c r="D10"/>
  <c r="I10" s="1"/>
  <c r="G10"/>
  <c r="E11"/>
  <c r="G11"/>
  <c r="E12"/>
  <c r="G12"/>
  <c r="E16" i="7"/>
  <c r="D16"/>
  <c r="E18"/>
  <c r="E20"/>
  <c r="E9"/>
  <c r="E8"/>
  <c r="I8"/>
  <c r="J8" s="1"/>
  <c r="D8"/>
  <c r="G8"/>
  <c r="G9"/>
  <c r="E10"/>
  <c r="G10"/>
  <c r="E11"/>
  <c r="G11"/>
  <c r="E12"/>
  <c r="G12"/>
  <c r="AA20" i="12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E20"/>
  <c r="D20"/>
  <c r="C20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E13"/>
  <c r="D13"/>
  <c r="C13"/>
  <c r="D16" i="11"/>
  <c r="E18"/>
  <c r="E20"/>
  <c r="E9"/>
  <c r="E8"/>
  <c r="D8"/>
  <c r="I8"/>
  <c r="J8" s="1"/>
  <c r="G8"/>
  <c r="G9"/>
  <c r="E10"/>
  <c r="G10"/>
  <c r="E11"/>
  <c r="D10"/>
  <c r="G11"/>
  <c r="E12"/>
  <c r="G12"/>
  <c r="I58" i="10"/>
  <c r="F10"/>
  <c r="F64"/>
  <c r="G10"/>
  <c r="G64"/>
  <c r="E25" i="11"/>
  <c r="F25"/>
  <c r="G25"/>
  <c r="F29"/>
  <c r="D28"/>
  <c r="D32"/>
  <c r="J6" i="10"/>
  <c r="J7"/>
  <c r="J10"/>
  <c r="J64"/>
  <c r="J8"/>
  <c r="J9"/>
  <c r="H10"/>
  <c r="H64"/>
  <c r="I10"/>
  <c r="F18"/>
  <c r="H18"/>
  <c r="H19"/>
  <c r="G22"/>
  <c r="H22"/>
  <c r="I64"/>
  <c r="I65"/>
  <c r="F47" i="9"/>
  <c r="F48"/>
  <c r="F46"/>
  <c r="F10"/>
  <c r="F59"/>
  <c r="F18"/>
  <c r="H18"/>
  <c r="H19"/>
  <c r="G22"/>
  <c r="H22"/>
  <c r="J35"/>
  <c r="G36"/>
  <c r="J36"/>
  <c r="H40"/>
  <c r="H40" i="10" s="1"/>
  <c r="H67" s="1"/>
  <c r="H68" s="1"/>
  <c r="F81" s="1"/>
  <c r="G47" i="9"/>
  <c r="G48"/>
  <c r="G46"/>
  <c r="I6"/>
  <c r="G6"/>
  <c r="H10"/>
  <c r="H59"/>
  <c r="I8"/>
  <c r="I10"/>
  <c r="I59"/>
  <c r="I61"/>
  <c r="I63"/>
  <c r="I9"/>
  <c r="J9"/>
  <c r="J47"/>
  <c r="J48"/>
  <c r="I62"/>
  <c r="I53"/>
  <c r="I60"/>
  <c r="E25" i="2"/>
  <c r="F25"/>
  <c r="G25"/>
  <c r="F29"/>
  <c r="E39" s="1"/>
  <c r="O37"/>
  <c r="O38"/>
  <c r="O39"/>
  <c r="E17"/>
  <c r="E17" i="8" s="1"/>
  <c r="E16" i="2"/>
  <c r="E16" i="11" s="1"/>
  <c r="G16" i="2"/>
  <c r="I16"/>
  <c r="J16" s="1"/>
  <c r="G17"/>
  <c r="G17" i="8"/>
  <c r="E18" i="2"/>
  <c r="D19" s="1"/>
  <c r="E18" i="4"/>
  <c r="D17" i="2"/>
  <c r="D17" i="4" s="1"/>
  <c r="G18" i="2"/>
  <c r="E19"/>
  <c r="D20" s="1"/>
  <c r="G19"/>
  <c r="G20"/>
  <c r="G20" i="7" s="1"/>
  <c r="E25" i="8"/>
  <c r="F25"/>
  <c r="G25"/>
  <c r="F29" s="1"/>
  <c r="D10" i="2"/>
  <c r="D10" i="7" s="1"/>
  <c r="D9" i="2"/>
  <c r="D9" i="4" s="1"/>
  <c r="I9" s="1"/>
  <c r="D11" i="2"/>
  <c r="D11" i="11"/>
  <c r="D12" i="2"/>
  <c r="D12" i="4" s="1"/>
  <c r="E25" i="7"/>
  <c r="F25"/>
  <c r="G25"/>
  <c r="F29" s="1"/>
  <c r="E25" i="4"/>
  <c r="F25"/>
  <c r="G25"/>
  <c r="F29" s="1"/>
  <c r="D28" i="8"/>
  <c r="D32"/>
  <c r="D28" i="7"/>
  <c r="D32"/>
  <c r="N86" i="2"/>
  <c r="C40"/>
  <c r="D28" i="4"/>
  <c r="D32"/>
  <c r="I8" i="2"/>
  <c r="J8" s="1"/>
  <c r="I10"/>
  <c r="D32"/>
  <c r="D28"/>
  <c r="L17"/>
  <c r="L18"/>
  <c r="K18"/>
  <c r="L9"/>
  <c r="L10"/>
  <c r="K10"/>
  <c r="L11"/>
  <c r="K9"/>
  <c r="K17"/>
  <c r="L8"/>
  <c r="L16"/>
  <c r="K16"/>
  <c r="K8"/>
  <c r="J46" i="9"/>
  <c r="G19" i="7"/>
  <c r="G19" i="11"/>
  <c r="G19" i="4"/>
  <c r="J6" i="9"/>
  <c r="G10"/>
  <c r="G59"/>
  <c r="I9" i="2"/>
  <c r="D9" i="7"/>
  <c r="G18" i="8"/>
  <c r="G18" i="7"/>
  <c r="G18" i="11"/>
  <c r="G18" i="4"/>
  <c r="G16" i="8"/>
  <c r="G16" i="7"/>
  <c r="G16" i="4"/>
  <c r="G16" i="11"/>
  <c r="H20" i="9"/>
  <c r="H23"/>
  <c r="D11" i="8"/>
  <c r="G17" i="4"/>
  <c r="K11" i="2"/>
  <c r="I11"/>
  <c r="J8" i="9"/>
  <c r="D17" i="11"/>
  <c r="G17"/>
  <c r="E17"/>
  <c r="D11" i="7"/>
  <c r="D11" i="4"/>
  <c r="D18" i="2"/>
  <c r="D18" i="4" s="1"/>
  <c r="D17" i="7"/>
  <c r="G17"/>
  <c r="E17"/>
  <c r="F26" i="9"/>
  <c r="H26"/>
  <c r="H28"/>
  <c r="H30"/>
  <c r="F27"/>
  <c r="H27"/>
  <c r="D18" i="11"/>
  <c r="I18" i="2"/>
  <c r="F38" i="9"/>
  <c r="F62"/>
  <c r="J10"/>
  <c r="J59"/>
  <c r="J53"/>
  <c r="J60"/>
  <c r="J61"/>
  <c r="F53"/>
  <c r="F60"/>
  <c r="F61"/>
  <c r="G72"/>
  <c r="R51"/>
  <c r="O52"/>
  <c r="I66" i="10"/>
  <c r="H20"/>
  <c r="H23"/>
  <c r="F58"/>
  <c r="F65"/>
  <c r="F66"/>
  <c r="R50"/>
  <c r="R51"/>
  <c r="G67"/>
  <c r="G68" s="1"/>
  <c r="F80" s="1"/>
  <c r="F26"/>
  <c r="H26"/>
  <c r="F27"/>
  <c r="H27"/>
  <c r="O52"/>
  <c r="H28"/>
  <c r="H30"/>
  <c r="H56"/>
  <c r="G56"/>
  <c r="J56"/>
  <c r="H54"/>
  <c r="G54"/>
  <c r="J54"/>
  <c r="H52"/>
  <c r="G52"/>
  <c r="J52"/>
  <c r="H50"/>
  <c r="G50"/>
  <c r="J50"/>
  <c r="H48"/>
  <c r="G48"/>
  <c r="J48"/>
  <c r="H46"/>
  <c r="H57"/>
  <c r="G57"/>
  <c r="J57"/>
  <c r="H55"/>
  <c r="G55"/>
  <c r="J55"/>
  <c r="H53"/>
  <c r="G53"/>
  <c r="J53"/>
  <c r="H51"/>
  <c r="G51"/>
  <c r="J51"/>
  <c r="H49"/>
  <c r="G49"/>
  <c r="J49"/>
  <c r="H47"/>
  <c r="G47"/>
  <c r="J47"/>
  <c r="H58"/>
  <c r="H65"/>
  <c r="H66"/>
  <c r="G46"/>
  <c r="J46"/>
  <c r="J58"/>
  <c r="J65"/>
  <c r="J66"/>
  <c r="G58"/>
  <c r="G65"/>
  <c r="G66"/>
  <c r="D39" i="2"/>
  <c r="F39"/>
  <c r="H43" i="11"/>
  <c r="C43"/>
  <c r="F43"/>
  <c r="D43"/>
  <c r="I43"/>
  <c r="K43"/>
  <c r="E43"/>
  <c r="G43"/>
  <c r="L43"/>
  <c r="J43"/>
  <c r="F40" i="2"/>
  <c r="H60" i="9"/>
  <c r="H61"/>
  <c r="J37"/>
  <c r="J38"/>
  <c r="J39"/>
  <c r="J62" s="1"/>
  <c r="J63" s="1"/>
  <c r="F63"/>
  <c r="F74" s="1"/>
  <c r="G73"/>
  <c r="G74" s="1"/>
  <c r="H37"/>
  <c r="O77"/>
  <c r="G62"/>
  <c r="G63"/>
  <c r="G75"/>
  <c r="F75"/>
  <c r="H39" l="1"/>
  <c r="H62" s="1"/>
  <c r="P76" s="1"/>
  <c r="P77" s="1"/>
  <c r="J39" i="10"/>
  <c r="L43" i="7"/>
  <c r="F43"/>
  <c r="I43"/>
  <c r="D43"/>
  <c r="E43"/>
  <c r="C43"/>
  <c r="J43"/>
  <c r="K43"/>
  <c r="H43"/>
  <c r="G43"/>
  <c r="I43" i="4"/>
  <c r="D43"/>
  <c r="G43"/>
  <c r="E43"/>
  <c r="C43"/>
  <c r="L43"/>
  <c r="J43"/>
  <c r="H43"/>
  <c r="K43"/>
  <c r="F43"/>
  <c r="J43" i="8"/>
  <c r="D43"/>
  <c r="K43"/>
  <c r="F43"/>
  <c r="I43"/>
  <c r="E43"/>
  <c r="C43"/>
  <c r="H43"/>
  <c r="L43"/>
  <c r="G43"/>
  <c r="I10" i="7"/>
  <c r="I16" i="11"/>
  <c r="J16" s="1"/>
  <c r="I11"/>
  <c r="I17" i="4"/>
  <c r="I10" i="11"/>
  <c r="I11" i="7"/>
  <c r="I16"/>
  <c r="J16" s="1"/>
  <c r="I11" i="8"/>
  <c r="G20" i="11"/>
  <c r="G20" i="8"/>
  <c r="G20" i="4"/>
  <c r="I11"/>
  <c r="L12" i="2"/>
  <c r="K20"/>
  <c r="L20"/>
  <c r="D20" i="8"/>
  <c r="I20" i="2"/>
  <c r="D20" i="7"/>
  <c r="I20" s="1"/>
  <c r="D20" i="11"/>
  <c r="D20" i="4"/>
  <c r="I20" s="1"/>
  <c r="E19" i="7"/>
  <c r="E19" i="11"/>
  <c r="E19" i="8"/>
  <c r="E19" i="4"/>
  <c r="D12" i="7"/>
  <c r="D12" i="11"/>
  <c r="D12" i="8"/>
  <c r="K12" i="2"/>
  <c r="D19" i="7"/>
  <c r="I19" s="1"/>
  <c r="D19" i="11"/>
  <c r="I19" s="1"/>
  <c r="D19" i="4"/>
  <c r="D19" i="8"/>
  <c r="K19" i="2"/>
  <c r="I19"/>
  <c r="L19"/>
  <c r="I18" i="4"/>
  <c r="I18" i="11"/>
  <c r="D18" i="8"/>
  <c r="I18" s="1"/>
  <c r="D18" i="7"/>
  <c r="I18" s="1"/>
  <c r="I17" i="11"/>
  <c r="I17" i="7"/>
  <c r="J17" s="1"/>
  <c r="I9"/>
  <c r="J9" s="1"/>
  <c r="J10" s="1"/>
  <c r="J11" s="1"/>
  <c r="M17" i="2"/>
  <c r="J9" i="4"/>
  <c r="J10" s="1"/>
  <c r="J11" s="1"/>
  <c r="J9" i="2"/>
  <c r="M9"/>
  <c r="D17" i="8"/>
  <c r="I17" s="1"/>
  <c r="J17" s="1"/>
  <c r="D9"/>
  <c r="I9" s="1"/>
  <c r="J9" s="1"/>
  <c r="J10" s="1"/>
  <c r="J11" s="1"/>
  <c r="E16" i="4"/>
  <c r="I16" s="1"/>
  <c r="J16" s="1"/>
  <c r="J17" s="1"/>
  <c r="J18" s="1"/>
  <c r="I17" i="2"/>
  <c r="J17" s="1"/>
  <c r="D9" i="11"/>
  <c r="I9" s="1"/>
  <c r="J9" s="1"/>
  <c r="J10" s="1"/>
  <c r="J11" s="1"/>
  <c r="E40" i="2"/>
  <c r="D41"/>
  <c r="E42"/>
  <c r="E41"/>
  <c r="D40"/>
  <c r="G39"/>
  <c r="L39"/>
  <c r="J39"/>
  <c r="D42"/>
  <c r="F42"/>
  <c r="H39"/>
  <c r="I39"/>
  <c r="C39"/>
  <c r="C42" s="1"/>
  <c r="K39"/>
  <c r="F82" i="10"/>
  <c r="F83" s="1"/>
  <c r="C3" i="11" s="1"/>
  <c r="H63" i="9" l="1"/>
  <c r="F76" s="1"/>
  <c r="H39" i="10"/>
  <c r="I19" i="4"/>
  <c r="J17" i="11"/>
  <c r="I20"/>
  <c r="I20" i="8"/>
  <c r="J19" i="4"/>
  <c r="I19" i="8"/>
  <c r="J18" i="7"/>
  <c r="J19" s="1"/>
  <c r="J18" i="8"/>
  <c r="J18" i="11"/>
  <c r="J19" s="1"/>
  <c r="J18" i="2"/>
  <c r="M18"/>
  <c r="J10"/>
  <c r="M10"/>
  <c r="I42"/>
  <c r="H41"/>
  <c r="I40"/>
  <c r="I41"/>
  <c r="J42"/>
  <c r="J40"/>
  <c r="K42"/>
  <c r="J41"/>
  <c r="K40"/>
  <c r="F41"/>
  <c r="G40"/>
  <c r="G42"/>
  <c r="H42"/>
  <c r="H40"/>
  <c r="G41"/>
  <c r="L42"/>
  <c r="L40"/>
  <c r="K41"/>
  <c r="L41" s="1"/>
  <c r="C41"/>
  <c r="L9" i="11"/>
  <c r="L16"/>
  <c r="K11"/>
  <c r="K18"/>
  <c r="L12"/>
  <c r="K12"/>
  <c r="L17"/>
  <c r="L20"/>
  <c r="K8"/>
  <c r="K19"/>
  <c r="L8"/>
  <c r="K17"/>
  <c r="K9"/>
  <c r="K20"/>
  <c r="K16"/>
  <c r="L19"/>
  <c r="L11"/>
  <c r="L18"/>
  <c r="K10"/>
  <c r="L10"/>
  <c r="G76" i="9" l="1"/>
  <c r="G77" s="1"/>
  <c r="G78" s="1"/>
  <c r="O56"/>
  <c r="O62"/>
  <c r="O64" s="1"/>
  <c r="M9" i="11"/>
  <c r="F77" i="9"/>
  <c r="F78" s="1"/>
  <c r="C3" i="7" s="1"/>
  <c r="M18" i="11"/>
  <c r="J19" i="8"/>
  <c r="M17" i="11"/>
  <c r="J11" i="2"/>
  <c r="M12" s="1"/>
  <c r="M11"/>
  <c r="M19"/>
  <c r="J19"/>
  <c r="M20" s="1"/>
  <c r="Q10" i="11"/>
  <c r="Q11"/>
  <c r="O12"/>
  <c r="Q12"/>
  <c r="N12" s="1"/>
  <c r="O9"/>
  <c r="Q9"/>
  <c r="N9" s="1"/>
  <c r="O8"/>
  <c r="Q8"/>
  <c r="M20"/>
  <c r="M19"/>
  <c r="M12"/>
  <c r="M10"/>
  <c r="M11"/>
  <c r="O61" i="9" l="1"/>
  <c r="O63" s="1"/>
  <c r="O65" s="1"/>
  <c r="P78" s="1"/>
  <c r="C3" i="4" s="1"/>
  <c r="P62" i="9"/>
  <c r="P64" s="1"/>
  <c r="K11" i="7"/>
  <c r="L8"/>
  <c r="L16"/>
  <c r="K17"/>
  <c r="L20"/>
  <c r="K9"/>
  <c r="L10"/>
  <c r="K18"/>
  <c r="K16"/>
  <c r="L18"/>
  <c r="L9"/>
  <c r="L11"/>
  <c r="K8"/>
  <c r="K10"/>
  <c r="L17"/>
  <c r="K20"/>
  <c r="L12"/>
  <c r="Q12" s="1"/>
  <c r="N12" s="1"/>
  <c r="O12" s="1"/>
  <c r="L19"/>
  <c r="K12"/>
  <c r="K19"/>
  <c r="M13" i="2"/>
  <c r="C5" s="1"/>
  <c r="M21"/>
  <c r="C4" s="1"/>
  <c r="M21" i="11"/>
  <c r="C4" s="1"/>
  <c r="F32" i="2"/>
  <c r="M13" i="11"/>
  <c r="F32" s="1"/>
  <c r="Q13"/>
  <c r="N8"/>
  <c r="L10" i="4" l="1"/>
  <c r="O10" s="1"/>
  <c r="K16"/>
  <c r="L19"/>
  <c r="L20"/>
  <c r="K8"/>
  <c r="K17"/>
  <c r="K18"/>
  <c r="L9"/>
  <c r="O9" s="1"/>
  <c r="K20"/>
  <c r="L11"/>
  <c r="Q11" s="1"/>
  <c r="K11"/>
  <c r="L17"/>
  <c r="K12"/>
  <c r="L8"/>
  <c r="O8" s="1"/>
  <c r="L18"/>
  <c r="K10"/>
  <c r="K19"/>
  <c r="L16"/>
  <c r="K9"/>
  <c r="M9" s="1"/>
  <c r="L12"/>
  <c r="O12" s="1"/>
  <c r="O78" i="9"/>
  <c r="C3" i="8" s="1"/>
  <c r="L11" s="1"/>
  <c r="Q11" s="1"/>
  <c r="N11" s="1"/>
  <c r="P63" i="9"/>
  <c r="P65" s="1"/>
  <c r="M10" i="7"/>
  <c r="M11"/>
  <c r="F28" i="11"/>
  <c r="F30" s="1"/>
  <c r="K31" s="1"/>
  <c r="M9" i="7"/>
  <c r="Q8"/>
  <c r="O8"/>
  <c r="O9"/>
  <c r="Q9"/>
  <c r="N9" s="1"/>
  <c r="Q10"/>
  <c r="N10" s="1"/>
  <c r="O10"/>
  <c r="M12"/>
  <c r="Q9" i="4"/>
  <c r="N9" s="1"/>
  <c r="O11" i="7"/>
  <c r="Q11"/>
  <c r="N11" s="1"/>
  <c r="M19"/>
  <c r="M20"/>
  <c r="M18"/>
  <c r="M17"/>
  <c r="F28" i="2"/>
  <c r="F30" s="1"/>
  <c r="K31" s="1"/>
  <c r="C5" i="11"/>
  <c r="M12" i="4" l="1"/>
  <c r="O11" i="8"/>
  <c r="Q10" i="4"/>
  <c r="N10" s="1"/>
  <c r="L8" i="8"/>
  <c r="Q8" s="1"/>
  <c r="K17"/>
  <c r="L9"/>
  <c r="Q9" s="1"/>
  <c r="L18"/>
  <c r="K10"/>
  <c r="M11" i="4"/>
  <c r="M18"/>
  <c r="N13" i="11"/>
  <c r="K32"/>
  <c r="L17" i="8"/>
  <c r="K9"/>
  <c r="K16"/>
  <c r="M10" i="4"/>
  <c r="M19"/>
  <c r="M20"/>
  <c r="Q8"/>
  <c r="M17"/>
  <c r="Q12"/>
  <c r="N12" s="1"/>
  <c r="L12" i="8"/>
  <c r="L19"/>
  <c r="L10"/>
  <c r="Q10" s="1"/>
  <c r="K19"/>
  <c r="K20"/>
  <c r="K18"/>
  <c r="M18" s="1"/>
  <c r="K8"/>
  <c r="K11"/>
  <c r="M11" s="1"/>
  <c r="L20"/>
  <c r="K12"/>
  <c r="L16"/>
  <c r="M13" i="4"/>
  <c r="F32" s="1"/>
  <c r="M10" i="8"/>
  <c r="O8"/>
  <c r="M13" i="7"/>
  <c r="F32" s="1"/>
  <c r="Q13"/>
  <c r="N8"/>
  <c r="M21"/>
  <c r="N11" i="11"/>
  <c r="O11" s="1"/>
  <c r="N10"/>
  <c r="O10" s="1"/>
  <c r="N8" i="8"/>
  <c r="F85" i="10"/>
  <c r="Q13" i="4" l="1"/>
  <c r="M9" i="8"/>
  <c r="N8" i="4"/>
  <c r="M17" i="8"/>
  <c r="M12"/>
  <c r="M21" i="4"/>
  <c r="F28" s="1"/>
  <c r="F30" s="1"/>
  <c r="K31" s="1"/>
  <c r="P80" i="9" s="1"/>
  <c r="P79" s="1"/>
  <c r="M19" i="8"/>
  <c r="M20"/>
  <c r="Q12"/>
  <c r="O12"/>
  <c r="M21"/>
  <c r="C4" s="1"/>
  <c r="C5" i="7"/>
  <c r="F84" i="10"/>
  <c r="G99" i="9"/>
  <c r="F28" i="7"/>
  <c r="F30" s="1"/>
  <c r="K31" s="1"/>
  <c r="C4"/>
  <c r="F89" i="10"/>
  <c r="F86"/>
  <c r="F88" s="1"/>
  <c r="G100" i="9" l="1"/>
  <c r="G105"/>
  <c r="G106" s="1"/>
  <c r="M13" i="8"/>
  <c r="F32" s="1"/>
  <c r="N13" i="4"/>
  <c r="N11" s="1"/>
  <c r="O11" s="1"/>
  <c r="N12" i="8"/>
  <c r="Q13"/>
  <c r="F28"/>
  <c r="F30" s="1"/>
  <c r="K31" s="1"/>
  <c r="O80" i="9" s="1"/>
  <c r="Q80" s="1"/>
  <c r="O66" s="1"/>
  <c r="N13" i="7"/>
  <c r="F80" i="9"/>
  <c r="N10" i="8"/>
  <c r="O10" s="1"/>
  <c r="C5" l="1"/>
  <c r="O81" i="9"/>
  <c r="O83" s="1"/>
  <c r="N13" i="8"/>
  <c r="N9" s="1"/>
  <c r="O9" s="1"/>
  <c r="O79" i="9"/>
  <c r="G80"/>
  <c r="F79"/>
  <c r="F84"/>
  <c r="F81"/>
  <c r="F99" l="1"/>
  <c r="F105" s="1"/>
  <c r="F106" s="1"/>
  <c r="G79"/>
  <c r="G81"/>
  <c r="G83" s="1"/>
  <c r="G84"/>
  <c r="F88"/>
  <c r="F83"/>
  <c r="G88"/>
  <c r="H99" l="1"/>
  <c r="H100" s="1"/>
  <c r="F100"/>
</calcChain>
</file>

<file path=xl/sharedStrings.xml><?xml version="1.0" encoding="utf-8"?>
<sst xmlns="http://schemas.openxmlformats.org/spreadsheetml/2006/main" count="499" uniqueCount="166">
  <si>
    <t>Total Revenues</t>
  </si>
  <si>
    <t>Revenues Nettes</t>
  </si>
  <si>
    <t>Taux moyenne d'imposition</t>
  </si>
  <si>
    <t>Deduction 10%</t>
  </si>
  <si>
    <t>Revenues Brute Global</t>
  </si>
  <si>
    <t>Limites</t>
  </si>
  <si>
    <t>Taux</t>
  </si>
  <si>
    <t>Ingresos</t>
  </si>
  <si>
    <t>ISR</t>
  </si>
  <si>
    <t>Resto</t>
  </si>
  <si>
    <t>Ingreso</t>
  </si>
  <si>
    <t>Impuesto</t>
  </si>
  <si>
    <t>Posicion</t>
  </si>
  <si>
    <t>Acumul</t>
  </si>
  <si>
    <t>Partes</t>
  </si>
  <si>
    <t>1/2Partes Sup</t>
  </si>
  <si>
    <t>Plafond</t>
  </si>
  <si>
    <t>Calcule du Plafond quotienne Familial</t>
  </si>
  <si>
    <t>Impuesto Minimo</t>
  </si>
  <si>
    <t>Impuesto Teorico</t>
  </si>
  <si>
    <t>(a)</t>
  </si>
  <si>
    <t>(b)</t>
  </si>
  <si>
    <t>Impuesto Final Max { (a); (b)}</t>
  </si>
  <si>
    <t>Plafond familial</t>
  </si>
  <si>
    <t>Taux Final</t>
  </si>
  <si>
    <t xml:space="preserve"> </t>
  </si>
  <si>
    <t>2 partes</t>
  </si>
  <si>
    <t>2pars</t>
  </si>
  <si>
    <t>4pars</t>
  </si>
  <si>
    <t>4 partes</t>
  </si>
  <si>
    <t xml:space="preserve">Taux Moyenne ISR </t>
  </si>
  <si>
    <t>Taux Marginal</t>
  </si>
  <si>
    <t>Total</t>
  </si>
  <si>
    <t>Salaire Nette imposable</t>
  </si>
  <si>
    <t>Limite deduction 10% rev global</t>
  </si>
  <si>
    <t>Charge fiscal + SS total</t>
  </si>
  <si>
    <t>Calculos teoricos</t>
  </si>
  <si>
    <t>Ingr Neto</t>
  </si>
  <si>
    <t>Finalisation 31/3/2010</t>
  </si>
  <si>
    <t>Base</t>
  </si>
  <si>
    <t>Unités</t>
  </si>
  <si>
    <t>Montant</t>
  </si>
  <si>
    <t>Indemnité 1</t>
  </si>
  <si>
    <t>Prime sur Objectifs 2009</t>
  </si>
  <si>
    <t>Total Brut</t>
  </si>
  <si>
    <t>%</t>
  </si>
  <si>
    <t>Charges</t>
  </si>
  <si>
    <t>CSG déductible</t>
  </si>
  <si>
    <t>CSG + CRDS Imposable</t>
  </si>
  <si>
    <t>Total Charges</t>
  </si>
  <si>
    <t>Net a payer</t>
  </si>
  <si>
    <t>1,- Ingresos E.On/Snet</t>
  </si>
  <si>
    <t>Snet</t>
  </si>
  <si>
    <t>Finiquito</t>
  </si>
  <si>
    <t>Janvier</t>
  </si>
  <si>
    <t>Mars</t>
  </si>
  <si>
    <t>E.ON</t>
  </si>
  <si>
    <t>Brut</t>
  </si>
  <si>
    <t>Charges Sociales</t>
  </si>
  <si>
    <t>Autres Retentions</t>
  </si>
  <si>
    <t>Net Imposable</t>
  </si>
  <si>
    <r>
      <t xml:space="preserve">Congés payés </t>
    </r>
    <r>
      <rPr>
        <vertAlign val="superscript"/>
        <sz val="10"/>
        <rFont val="Times New Roman"/>
        <family val="1"/>
      </rPr>
      <t>(1)</t>
    </r>
  </si>
  <si>
    <r>
      <t xml:space="preserve">RTT </t>
    </r>
    <r>
      <rPr>
        <vertAlign val="superscript"/>
        <sz val="10"/>
        <rFont val="Times New Roman"/>
        <family val="1"/>
      </rPr>
      <t>(2)</t>
    </r>
  </si>
  <si>
    <r>
      <t xml:space="preserve">Prime sur Objectifs 2010 </t>
    </r>
    <r>
      <rPr>
        <vertAlign val="superscript"/>
        <sz val="10"/>
        <rFont val="Times New Roman"/>
        <family val="1"/>
      </rPr>
      <t>(3)</t>
    </r>
  </si>
  <si>
    <t>Calcul de l'indemnité</t>
  </si>
  <si>
    <t>Salaires</t>
  </si>
  <si>
    <t>Indemnité Conventionnel</t>
  </si>
  <si>
    <t>Indemnité transactionnel</t>
  </si>
  <si>
    <t>Juin</t>
  </si>
  <si>
    <t>Juillet</t>
  </si>
  <si>
    <t>Août</t>
  </si>
  <si>
    <t>Septembre</t>
  </si>
  <si>
    <t>Octobre</t>
  </si>
  <si>
    <t>Novembre</t>
  </si>
  <si>
    <t>Décembre</t>
  </si>
  <si>
    <t>Asedic</t>
  </si>
  <si>
    <t>Total Revenues Ordinaires</t>
  </si>
  <si>
    <t>Revenues Extraorinaires</t>
  </si>
  <si>
    <t>Calcul Directe</t>
  </si>
  <si>
    <t>Revenues Ordinaires</t>
  </si>
  <si>
    <t>Revenues Extraordinaires</t>
  </si>
  <si>
    <t>Ordinaires</t>
  </si>
  <si>
    <t>Ord + Extraord/4</t>
  </si>
  <si>
    <t>Diferencia</t>
  </si>
  <si>
    <t>Février</t>
  </si>
  <si>
    <t>Avril</t>
  </si>
  <si>
    <t>Mai</t>
  </si>
  <si>
    <t>Jan.</t>
  </si>
  <si>
    <t>Fév.</t>
  </si>
  <si>
    <t>Avr.</t>
  </si>
  <si>
    <t>Juil.</t>
  </si>
  <si>
    <t>Sept.</t>
  </si>
  <si>
    <t>Oct.</t>
  </si>
  <si>
    <t>Nov.</t>
  </si>
  <si>
    <t>Déc.</t>
  </si>
  <si>
    <t>Salarios</t>
  </si>
  <si>
    <t>Indemn.</t>
  </si>
  <si>
    <t>Otros</t>
  </si>
  <si>
    <t>Total Ingresos</t>
  </si>
  <si>
    <t>Gastos</t>
  </si>
  <si>
    <t>Normales Casa</t>
  </si>
  <si>
    <t>Extraordinarios</t>
  </si>
  <si>
    <t>Impuestos</t>
  </si>
  <si>
    <t>Tesoreria</t>
  </si>
  <si>
    <t>Saldo</t>
  </si>
  <si>
    <t>Inic.</t>
  </si>
  <si>
    <t>Inv.1</t>
  </si>
  <si>
    <t>Inv.2</t>
  </si>
  <si>
    <t>Inv.3</t>
  </si>
  <si>
    <t>Inv.4</t>
  </si>
  <si>
    <t>Inv.5</t>
  </si>
  <si>
    <t>Inv.6</t>
  </si>
  <si>
    <t>Total Gastos</t>
  </si>
  <si>
    <t>Inversiones</t>
  </si>
  <si>
    <t>ASSEDIC</t>
  </si>
  <si>
    <t>Total Revenues 2010</t>
  </si>
  <si>
    <r>
      <t>Salaire Février-Juin</t>
    </r>
    <r>
      <rPr>
        <vertAlign val="superscript"/>
        <sz val="10"/>
        <rFont val="Times New Roman"/>
        <family val="1"/>
      </rPr>
      <t xml:space="preserve"> (0)</t>
    </r>
  </si>
  <si>
    <t>Mois Février-Mars</t>
  </si>
  <si>
    <t>Indemnité Légal</t>
  </si>
  <si>
    <t>2,- Calcul des Impôts sur le Revenues</t>
  </si>
  <si>
    <t>Quotient</t>
  </si>
  <si>
    <t>Calculos auxiliares para Quotient</t>
  </si>
  <si>
    <t>Impôts sur le Revenues</t>
  </si>
  <si>
    <t>Réf.(Incio ASSEDIC Jul)</t>
  </si>
  <si>
    <t>Déduction 10%</t>
  </si>
  <si>
    <t>Total Revenues 2011</t>
  </si>
  <si>
    <t>Charge fiscal sobre Ing Netos</t>
  </si>
  <si>
    <t>Allocation Aide au Retour a l'emploi</t>
  </si>
  <si>
    <t>€/Dia</t>
  </si>
  <si>
    <t>Retraite Complementaire</t>
  </si>
  <si>
    <t>ARE</t>
  </si>
  <si>
    <t>CSG</t>
  </si>
  <si>
    <t>CRDS</t>
  </si>
  <si>
    <t>Salaire de ref.</t>
  </si>
  <si>
    <t>Retencion</t>
  </si>
  <si>
    <t>Sal.Ref</t>
  </si>
  <si>
    <t>Salaire de base pour CSG/CRDS</t>
  </si>
  <si>
    <t>Salaire Net</t>
  </si>
  <si>
    <t>A los efectos de la declaracion ISR, diciembre se cobra en 2011</t>
  </si>
  <si>
    <t>Dec</t>
  </si>
  <si>
    <t>Valor de Referencia para Patrimonio</t>
  </si>
  <si>
    <t>Plafond Unit</t>
  </si>
  <si>
    <t>Traitements &amp; salaires Brutes</t>
  </si>
  <si>
    <t>Revenue nette imposable Simple</t>
  </si>
  <si>
    <t>Rev. Net imp. simple + 1/4 Quotient</t>
  </si>
  <si>
    <r>
      <rPr>
        <b/>
        <sz val="10"/>
        <rFont val="Times New Roman"/>
        <family val="1"/>
      </rPr>
      <t xml:space="preserve">cas 1) </t>
    </r>
    <r>
      <rPr>
        <sz val="10"/>
        <rFont val="Times New Roman"/>
        <family val="1"/>
      </rPr>
      <t xml:space="preserve"> revenues différés calculés par pondération sur  revenues de la déduction de 14,157</t>
    </r>
  </si>
  <si>
    <t>Déduction 10% (-14,157)</t>
  </si>
  <si>
    <t>SCG Déductible</t>
  </si>
  <si>
    <t>Revenues différés</t>
  </si>
  <si>
    <t>VALORES 2011</t>
  </si>
  <si>
    <t>Selon les textes dans me mains</t>
  </si>
  <si>
    <t>il faut distinguer dans le revenue net global imposable, les parts qui correspondent respectivemnet au revenue exceptional et au revenue ordinaire</t>
  </si>
  <si>
    <t>Les deduction son reparties a prorrata entre les revenues ordinaire et exceptionnel</t>
  </si>
  <si>
    <t>AGP Simul 8/04</t>
  </si>
  <si>
    <t>AGP Simul 24/05</t>
  </si>
  <si>
    <t>Revenues Divers</t>
  </si>
  <si>
    <t>Cotisations PERP</t>
  </si>
  <si>
    <t>Revenue Brute total + Divers- SCG- PERP</t>
  </si>
  <si>
    <t>Rapport Deduction</t>
  </si>
  <si>
    <t>Diferences</t>
  </si>
  <si>
    <t>Net à Payer</t>
  </si>
  <si>
    <t>Deductions</t>
  </si>
  <si>
    <t>Cas a) 100keu declarés en 2011</t>
  </si>
  <si>
    <t>Impôt sur le Revenues</t>
  </si>
  <si>
    <t>Rpport de deductions</t>
  </si>
  <si>
    <t>Cas b) 100keu declarés en 2010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</si>
</sst>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[$-40C]mmmmm;@"/>
  </numFmts>
  <fonts count="18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vertAlign val="superscript"/>
      <sz val="10"/>
      <name val="Times New Roman"/>
      <family val="1"/>
    </font>
    <font>
      <sz val="10"/>
      <color indexed="53"/>
      <name val="Times New Roman"/>
      <family val="1"/>
    </font>
    <font>
      <sz val="9"/>
      <name val="Arial"/>
      <family val="2"/>
    </font>
    <font>
      <sz val="10"/>
      <color theme="3" tint="-0.249977111117893"/>
      <name val="Times New Roman"/>
      <family val="1"/>
    </font>
    <font>
      <sz val="10"/>
      <color rgb="FFFF0000"/>
      <name val="Times New Roman"/>
      <family val="1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b/>
      <sz val="10"/>
      <color rgb="FF0070C0"/>
      <name val="Arial"/>
      <family val="2"/>
    </font>
    <font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7">
    <xf numFmtId="0" fontId="0" fillId="0" borderId="0" xfId="0"/>
    <xf numFmtId="3" fontId="0" fillId="0" borderId="0" xfId="0" applyNumberFormat="1"/>
    <xf numFmtId="0" fontId="0" fillId="0" borderId="0" xfId="0" quotePrefix="1"/>
    <xf numFmtId="3" fontId="0" fillId="0" borderId="1" xfId="0" applyNumberFormat="1" applyBorder="1"/>
    <xf numFmtId="3" fontId="0" fillId="0" borderId="0" xfId="0" applyNumberFormat="1" applyBorder="1"/>
    <xf numFmtId="0" fontId="0" fillId="0" borderId="0" xfId="0" applyBorder="1"/>
    <xf numFmtId="10" fontId="0" fillId="0" borderId="0" xfId="0" applyNumberFormat="1" applyBorder="1"/>
    <xf numFmtId="3" fontId="0" fillId="0" borderId="2" xfId="0" applyNumberFormat="1" applyBorder="1"/>
    <xf numFmtId="3" fontId="0" fillId="0" borderId="3" xfId="0" applyNumberFormat="1" applyBorder="1"/>
    <xf numFmtId="0" fontId="0" fillId="0" borderId="3" xfId="0" applyBorder="1"/>
    <xf numFmtId="10" fontId="0" fillId="0" borderId="3" xfId="0" applyNumberFormat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4" xfId="0" applyBorder="1"/>
    <xf numFmtId="0" fontId="0" fillId="2" borderId="5" xfId="0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3" fontId="0" fillId="0" borderId="6" xfId="0" applyNumberFormat="1" applyBorder="1"/>
    <xf numFmtId="0" fontId="0" fillId="0" borderId="5" xfId="0" applyBorder="1"/>
    <xf numFmtId="0" fontId="4" fillId="0" borderId="0" xfId="0" applyFont="1"/>
    <xf numFmtId="0" fontId="4" fillId="2" borderId="4" xfId="0" applyFont="1" applyFill="1" applyBorder="1" applyAlignment="1">
      <alignment horizontal="left" indent="1"/>
    </xf>
    <xf numFmtId="0" fontId="4" fillId="2" borderId="5" xfId="0" applyFont="1" applyFill="1" applyBorder="1" applyAlignment="1">
      <alignment horizontal="center"/>
    </xf>
    <xf numFmtId="3" fontId="4" fillId="0" borderId="6" xfId="0" applyNumberFormat="1" applyFont="1" applyBorder="1"/>
    <xf numFmtId="0" fontId="3" fillId="2" borderId="6" xfId="0" applyFont="1" applyFill="1" applyBorder="1" applyAlignment="1">
      <alignment horizontal="center"/>
    </xf>
    <xf numFmtId="0" fontId="3" fillId="0" borderId="0" xfId="0" applyFont="1"/>
    <xf numFmtId="0" fontId="4" fillId="0" borderId="4" xfId="0" applyFont="1" applyFill="1" applyBorder="1"/>
    <xf numFmtId="3" fontId="4" fillId="0" borderId="6" xfId="0" applyNumberFormat="1" applyFont="1" applyFill="1" applyBorder="1"/>
    <xf numFmtId="3" fontId="3" fillId="0" borderId="7" xfId="0" applyNumberFormat="1" applyFont="1" applyBorder="1"/>
    <xf numFmtId="3" fontId="3" fillId="0" borderId="8" xfId="0" applyNumberFormat="1" applyFont="1" applyBorder="1"/>
    <xf numFmtId="3" fontId="3" fillId="0" borderId="9" xfId="0" applyNumberFormat="1" applyFont="1" applyBorder="1"/>
    <xf numFmtId="3" fontId="3" fillId="0" borderId="10" xfId="0" applyNumberFormat="1" applyFont="1" applyBorder="1"/>
    <xf numFmtId="0" fontId="3" fillId="0" borderId="7" xfId="0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3" fontId="3" fillId="0" borderId="5" xfId="0" applyNumberFormat="1" applyFont="1" applyFill="1" applyBorder="1"/>
    <xf numFmtId="1" fontId="0" fillId="0" borderId="0" xfId="0" applyNumberFormat="1"/>
    <xf numFmtId="0" fontId="3" fillId="2" borderId="7" xfId="0" applyFont="1" applyFill="1" applyBorder="1" applyAlignment="1">
      <alignment horizontal="center"/>
    </xf>
    <xf numFmtId="3" fontId="0" fillId="0" borderId="0" xfId="1" applyNumberFormat="1" applyFont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3" fontId="3" fillId="0" borderId="4" xfId="0" applyNumberFormat="1" applyFont="1" applyBorder="1"/>
    <xf numFmtId="3" fontId="0" fillId="0" borderId="1" xfId="1" applyNumberFormat="1" applyFont="1" applyBorder="1"/>
    <xf numFmtId="3" fontId="0" fillId="0" borderId="11" xfId="1" applyNumberFormat="1" applyFont="1" applyBorder="1"/>
    <xf numFmtId="3" fontId="0" fillId="0" borderId="2" xfId="1" applyNumberFormat="1" applyFont="1" applyBorder="1"/>
    <xf numFmtId="3" fontId="0" fillId="0" borderId="3" xfId="1" applyNumberFormat="1" applyFont="1" applyBorder="1"/>
    <xf numFmtId="3" fontId="0" fillId="0" borderId="12" xfId="1" applyNumberFormat="1" applyFont="1" applyBorder="1"/>
    <xf numFmtId="10" fontId="1" fillId="0" borderId="9" xfId="1" applyNumberFormat="1" applyBorder="1"/>
    <xf numFmtId="10" fontId="1" fillId="0" borderId="10" xfId="1" applyNumberFormat="1" applyBorder="1"/>
    <xf numFmtId="3" fontId="1" fillId="0" borderId="1" xfId="1" applyNumberFormat="1" applyBorder="1"/>
    <xf numFmtId="3" fontId="1" fillId="0" borderId="0" xfId="1" applyNumberFormat="1" applyBorder="1"/>
    <xf numFmtId="3" fontId="1" fillId="0" borderId="11" xfId="1" applyNumberFormat="1" applyBorder="1"/>
    <xf numFmtId="3" fontId="1" fillId="0" borderId="2" xfId="1" applyNumberFormat="1" applyBorder="1"/>
    <xf numFmtId="3" fontId="1" fillId="0" borderId="3" xfId="1" applyNumberFormat="1" applyBorder="1"/>
    <xf numFmtId="3" fontId="1" fillId="0" borderId="12" xfId="1" applyNumberFormat="1" applyBorder="1"/>
    <xf numFmtId="3" fontId="5" fillId="0" borderId="0" xfId="0" applyNumberFormat="1" applyFont="1" applyBorder="1"/>
    <xf numFmtId="3" fontId="5" fillId="0" borderId="1" xfId="0" applyNumberFormat="1" applyFont="1" applyBorder="1"/>
    <xf numFmtId="10" fontId="5" fillId="0" borderId="0" xfId="0" applyNumberFormat="1" applyFont="1" applyBorder="1"/>
    <xf numFmtId="10" fontId="5" fillId="0" borderId="3" xfId="0" applyNumberFormat="1" applyFont="1" applyBorder="1"/>
    <xf numFmtId="3" fontId="5" fillId="0" borderId="3" xfId="0" applyNumberFormat="1" applyFont="1" applyBorder="1"/>
    <xf numFmtId="3" fontId="6" fillId="0" borderId="4" xfId="0" applyNumberFormat="1" applyFont="1" applyBorder="1"/>
    <xf numFmtId="3" fontId="6" fillId="0" borderId="5" xfId="0" applyNumberFormat="1" applyFont="1" applyBorder="1"/>
    <xf numFmtId="3" fontId="6" fillId="0" borderId="5" xfId="0" applyNumberFormat="1" applyFont="1" applyFill="1" applyBorder="1"/>
    <xf numFmtId="3" fontId="6" fillId="0" borderId="6" xfId="0" applyNumberFormat="1" applyFont="1" applyBorder="1"/>
    <xf numFmtId="165" fontId="0" fillId="0" borderId="13" xfId="1" applyNumberFormat="1" applyFont="1" applyBorder="1"/>
    <xf numFmtId="165" fontId="0" fillId="0" borderId="14" xfId="1" applyNumberFormat="1" applyFont="1" applyBorder="1"/>
    <xf numFmtId="0" fontId="4" fillId="0" borderId="10" xfId="0" applyFont="1" applyFill="1" applyBorder="1"/>
    <xf numFmtId="165" fontId="4" fillId="0" borderId="3" xfId="1" applyNumberFormat="1" applyFont="1" applyBorder="1"/>
    <xf numFmtId="165" fontId="4" fillId="0" borderId="12" xfId="0" applyNumberFormat="1" applyFont="1" applyBorder="1"/>
    <xf numFmtId="3" fontId="0" fillId="0" borderId="0" xfId="1" applyNumberFormat="1" applyFont="1" applyFill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4" fontId="7" fillId="0" borderId="13" xfId="0" applyNumberFormat="1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4" fontId="7" fillId="0" borderId="14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" fontId="7" fillId="0" borderId="11" xfId="0" applyNumberFormat="1" applyFont="1" applyFill="1" applyBorder="1" applyAlignment="1">
      <alignment vertical="center"/>
    </xf>
    <xf numFmtId="9" fontId="7" fillId="0" borderId="0" xfId="0" applyNumberFormat="1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4" fontId="7" fillId="0" borderId="3" xfId="0" applyNumberFormat="1" applyFont="1" applyFill="1" applyBorder="1" applyAlignment="1">
      <alignment vertical="center"/>
    </xf>
    <xf numFmtId="165" fontId="7" fillId="0" borderId="3" xfId="1" applyNumberFormat="1" applyFont="1" applyFill="1" applyBorder="1" applyAlignment="1">
      <alignment vertical="center"/>
    </xf>
    <xf numFmtId="4" fontId="7" fillId="0" borderId="12" xfId="0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4" fontId="7" fillId="0" borderId="4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4" fontId="7" fillId="0" borderId="6" xfId="0" applyNumberFormat="1" applyFont="1" applyFill="1" applyBorder="1" applyAlignment="1">
      <alignment vertical="center"/>
    </xf>
    <xf numFmtId="10" fontId="7" fillId="0" borderId="13" xfId="0" applyNumberFormat="1" applyFont="1" applyFill="1" applyBorder="1" applyAlignment="1">
      <alignment vertical="center"/>
    </xf>
    <xf numFmtId="10" fontId="7" fillId="0" borderId="3" xfId="0" applyNumberFormat="1" applyFont="1" applyFill="1" applyBorder="1" applyAlignment="1">
      <alignment vertical="center"/>
    </xf>
    <xf numFmtId="4" fontId="7" fillId="0" borderId="5" xfId="0" applyNumberFormat="1" applyFont="1" applyFill="1" applyBorder="1" applyAlignment="1">
      <alignment vertical="center"/>
    </xf>
    <xf numFmtId="4" fontId="8" fillId="0" borderId="6" xfId="0" applyNumberFormat="1" applyFont="1" applyFill="1" applyBorder="1" applyAlignment="1">
      <alignment vertical="center"/>
    </xf>
    <xf numFmtId="0" fontId="7" fillId="0" borderId="15" xfId="0" applyFont="1" applyBorder="1" applyAlignment="1">
      <alignment vertical="center"/>
    </xf>
    <xf numFmtId="4" fontId="7" fillId="0" borderId="13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4" fontId="7" fillId="0" borderId="0" xfId="0" applyNumberFormat="1" applyFont="1" applyBorder="1" applyAlignment="1">
      <alignment vertical="center"/>
    </xf>
    <xf numFmtId="4" fontId="7" fillId="0" borderId="11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4" fontId="7" fillId="0" borderId="3" xfId="0" applyNumberFormat="1" applyFont="1" applyBorder="1" applyAlignment="1">
      <alignment vertical="center"/>
    </xf>
    <xf numFmtId="4" fontId="7" fillId="0" borderId="12" xfId="0" applyNumberFormat="1" applyFont="1" applyBorder="1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4" fontId="7" fillId="0" borderId="4" xfId="0" applyNumberFormat="1" applyFont="1" applyBorder="1" applyAlignment="1">
      <alignment vertical="center"/>
    </xf>
    <xf numFmtId="4" fontId="7" fillId="0" borderId="5" xfId="0" applyNumberFormat="1" applyFont="1" applyBorder="1" applyAlignment="1">
      <alignment vertical="center"/>
    </xf>
    <xf numFmtId="4" fontId="7" fillId="0" borderId="6" xfId="0" applyNumberFormat="1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4" fontId="7" fillId="0" borderId="16" xfId="0" applyNumberFormat="1" applyFont="1" applyBorder="1" applyAlignment="1">
      <alignment vertical="center"/>
    </xf>
    <xf numFmtId="4" fontId="7" fillId="0" borderId="17" xfId="0" applyNumberFormat="1" applyFont="1" applyBorder="1" applyAlignment="1">
      <alignment vertical="center"/>
    </xf>
    <xf numFmtId="4" fontId="7" fillId="0" borderId="18" xfId="0" applyNumberFormat="1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165" fontId="7" fillId="0" borderId="4" xfId="1" applyNumberFormat="1" applyFont="1" applyBorder="1" applyAlignment="1">
      <alignment vertical="center"/>
    </xf>
    <xf numFmtId="164" fontId="7" fillId="0" borderId="14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7" fillId="0" borderId="20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vertical="center"/>
    </xf>
    <xf numFmtId="164" fontId="7" fillId="0" borderId="19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5" fontId="7" fillId="0" borderId="7" xfId="1" applyNumberFormat="1" applyFont="1" applyBorder="1" applyAlignment="1">
      <alignment vertical="center"/>
    </xf>
    <xf numFmtId="165" fontId="7" fillId="0" borderId="11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vertical="center"/>
    </xf>
    <xf numFmtId="164" fontId="7" fillId="0" borderId="9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 wrapText="1" shrinkToFit="1"/>
    </xf>
    <xf numFmtId="0" fontId="8" fillId="0" borderId="7" xfId="0" applyFont="1" applyFill="1" applyBorder="1" applyAlignment="1">
      <alignment vertical="center"/>
    </xf>
    <xf numFmtId="164" fontId="8" fillId="0" borderId="7" xfId="0" applyNumberFormat="1" applyFont="1" applyBorder="1" applyAlignment="1">
      <alignment vertical="center"/>
    </xf>
    <xf numFmtId="164" fontId="8" fillId="0" borderId="6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7" fillId="0" borderId="7" xfId="0" applyNumberFormat="1" applyFont="1" applyBorder="1" applyAlignment="1">
      <alignment vertical="center"/>
    </xf>
    <xf numFmtId="166" fontId="7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3" fontId="7" fillId="0" borderId="13" xfId="0" applyNumberFormat="1" applyFont="1" applyBorder="1" applyAlignment="1">
      <alignment vertical="center"/>
    </xf>
    <xf numFmtId="3" fontId="7" fillId="0" borderId="14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11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0" borderId="12" xfId="0" applyNumberFormat="1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2" fontId="7" fillId="0" borderId="0" xfId="0" applyNumberFormat="1" applyFont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9" fontId="7" fillId="0" borderId="0" xfId="0" applyNumberFormat="1" applyFont="1" applyBorder="1" applyAlignment="1">
      <alignment vertical="center"/>
    </xf>
    <xf numFmtId="10" fontId="7" fillId="0" borderId="0" xfId="0" applyNumberFormat="1" applyFont="1" applyBorder="1" applyAlignment="1">
      <alignment vertical="center"/>
    </xf>
    <xf numFmtId="10" fontId="7" fillId="0" borderId="3" xfId="0" applyNumberFormat="1" applyFont="1" applyBorder="1" applyAlignment="1">
      <alignment vertical="center"/>
    </xf>
    <xf numFmtId="9" fontId="7" fillId="0" borderId="3" xfId="0" applyNumberFormat="1" applyFont="1" applyBorder="1" applyAlignment="1">
      <alignment vertical="center"/>
    </xf>
    <xf numFmtId="2" fontId="7" fillId="0" borderId="12" xfId="0" applyNumberFormat="1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 wrapText="1"/>
    </xf>
    <xf numFmtId="4" fontId="7" fillId="0" borderId="22" xfId="0" applyNumberFormat="1" applyFont="1" applyBorder="1" applyAlignment="1">
      <alignment vertical="center"/>
    </xf>
    <xf numFmtId="4" fontId="7" fillId="0" borderId="23" xfId="0" applyNumberFormat="1" applyFont="1" applyBorder="1" applyAlignment="1">
      <alignment vertical="center"/>
    </xf>
    <xf numFmtId="4" fontId="7" fillId="0" borderId="24" xfId="0" applyNumberFormat="1" applyFont="1" applyBorder="1" applyAlignment="1">
      <alignment vertical="center"/>
    </xf>
    <xf numFmtId="165" fontId="8" fillId="0" borderId="7" xfId="1" applyNumberFormat="1" applyFont="1" applyBorder="1" applyAlignment="1">
      <alignment vertical="center"/>
    </xf>
    <xf numFmtId="4" fontId="14" fillId="0" borderId="15" xfId="0" applyNumberFormat="1" applyFont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4" fontId="14" fillId="0" borderId="12" xfId="0" applyNumberFormat="1" applyFont="1" applyBorder="1" applyAlignment="1">
      <alignment vertical="center"/>
    </xf>
    <xf numFmtId="4" fontId="14" fillId="0" borderId="14" xfId="0" applyNumberFormat="1" applyFont="1" applyFill="1" applyBorder="1" applyAlignment="1">
      <alignment vertical="center"/>
    </xf>
    <xf numFmtId="4" fontId="14" fillId="0" borderId="11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9" fontId="14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vertical="center"/>
    </xf>
    <xf numFmtId="4" fontId="14" fillId="0" borderId="3" xfId="0" applyNumberFormat="1" applyFont="1" applyFill="1" applyBorder="1" applyAlignment="1">
      <alignment vertical="center"/>
    </xf>
    <xf numFmtId="164" fontId="15" fillId="0" borderId="7" xfId="0" applyNumberFormat="1" applyFont="1" applyBorder="1" applyAlignment="1">
      <alignment vertic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3" xfId="0" quotePrefix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3" fontId="17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12" xfId="0" applyNumberFormat="1" applyBorder="1" applyAlignment="1">
      <alignment horizontal="center"/>
    </xf>
    <xf numFmtId="164" fontId="8" fillId="3" borderId="0" xfId="0" applyNumberFormat="1" applyFont="1" applyFill="1" applyAlignment="1">
      <alignment vertical="center"/>
    </xf>
    <xf numFmtId="0" fontId="7" fillId="3" borderId="4" xfId="0" applyFont="1" applyFill="1" applyBorder="1" applyAlignment="1">
      <alignment horizontal="centerContinuous" vertical="center" wrapText="1"/>
    </xf>
    <xf numFmtId="0" fontId="7" fillId="3" borderId="6" xfId="0" applyFont="1" applyFill="1" applyBorder="1" applyAlignment="1">
      <alignment horizontal="centerContinuous" vertical="center" wrapText="1"/>
    </xf>
    <xf numFmtId="3" fontId="7" fillId="0" borderId="6" xfId="0" applyNumberFormat="1" applyFont="1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3" fontId="13" fillId="0" borderId="9" xfId="0" applyNumberFormat="1" applyFont="1" applyBorder="1" applyAlignment="1">
      <alignment vertical="center"/>
    </xf>
    <xf numFmtId="3" fontId="7" fillId="0" borderId="8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3" fontId="13" fillId="0" borderId="11" xfId="0" applyNumberFormat="1" applyFont="1" applyBorder="1" applyAlignment="1">
      <alignment vertical="center"/>
    </xf>
    <xf numFmtId="4" fontId="15" fillId="0" borderId="2" xfId="0" applyNumberFormat="1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3" fontId="7" fillId="0" borderId="10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2" fontId="8" fillId="0" borderId="0" xfId="0" applyNumberFormat="1" applyFont="1" applyAlignment="1">
      <alignment horizontal="centerContinuous" vertical="center"/>
    </xf>
    <xf numFmtId="3" fontId="7" fillId="0" borderId="15" xfId="0" applyNumberFormat="1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>
        <c:manualLayout>
          <c:layoutTarget val="inner"/>
          <c:xMode val="edge"/>
          <c:yMode val="edge"/>
          <c:x val="0.11812316400429185"/>
          <c:y val="6.5822784810126642E-2"/>
          <c:w val="0.6699039712024224"/>
          <c:h val="0.82025316455696184"/>
        </c:manualLayout>
      </c:layout>
      <c:scatterChart>
        <c:scatterStyle val="lineMarker"/>
        <c:ser>
          <c:idx val="0"/>
          <c:order val="0"/>
          <c:tx>
            <c:strRef>
              <c:f>Direct!$B$41</c:f>
              <c:strCache>
                <c:ptCount val="1"/>
                <c:pt idx="0">
                  <c:v>2 partes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5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Direct!$C$40:$L$40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Direct!$C$41:$L$41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648.99</c:v>
                </c:pt>
                <c:pt idx="3">
                  <c:v>3908.75</c:v>
                </c:pt>
                <c:pt idx="4">
                  <c:v>4631.1499999999996</c:v>
                </c:pt>
                <c:pt idx="5">
                  <c:v>20186.75</c:v>
                </c:pt>
                <c:pt idx="6">
                  <c:v>30778.55</c:v>
                </c:pt>
                <c:pt idx="7">
                  <c:v>86382.55</c:v>
                </c:pt>
                <c:pt idx="8">
                  <c:v>95174.55</c:v>
                </c:pt>
                <c:pt idx="9">
                  <c:v>115174.55</c:v>
                </c:pt>
              </c:numCache>
            </c:numRef>
          </c:yVal>
        </c:ser>
        <c:ser>
          <c:idx val="1"/>
          <c:order val="1"/>
          <c:tx>
            <c:strRef>
              <c:f>Direct!$B$42</c:f>
              <c:strCache>
                <c:ptCount val="1"/>
                <c:pt idx="0">
                  <c:v>4 partes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Pt>
            <c:idx val="6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Direct!$C$40:$L$40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Direct!$C$42:$L$42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9262.2999999999993</c:v>
                </c:pt>
                <c:pt idx="6">
                  <c:v>19854.099999999999</c:v>
                </c:pt>
                <c:pt idx="7">
                  <c:v>61557.1</c:v>
                </c:pt>
                <c:pt idx="8">
                  <c:v>70349.100000000006</c:v>
                </c:pt>
                <c:pt idx="9">
                  <c:v>90349.1</c:v>
                </c:pt>
              </c:numCache>
            </c:numRef>
          </c:yVal>
        </c:ser>
        <c:ser>
          <c:idx val="2"/>
          <c:order val="2"/>
          <c:tx>
            <c:strRef>
              <c:f>Direct!$B$43</c:f>
              <c:strCache>
                <c:ptCount val="1"/>
                <c:pt idx="0">
                  <c:v>ISR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Direct!$C$40:$L$40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Direct!$C$43:$L$43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10842.75</c:v>
                </c:pt>
                <c:pt idx="6">
                  <c:v>21434.55</c:v>
                </c:pt>
                <c:pt idx="7">
                  <c:v>77038.55</c:v>
                </c:pt>
                <c:pt idx="8">
                  <c:v>85830.55</c:v>
                </c:pt>
                <c:pt idx="9">
                  <c:v>105830.55</c:v>
                </c:pt>
              </c:numCache>
            </c:numRef>
          </c:yVal>
        </c:ser>
        <c:axId val="128343040"/>
        <c:axId val="128345216"/>
      </c:scatterChart>
      <c:valAx>
        <c:axId val="128343040"/>
        <c:scaling>
          <c:orientation val="minMax"/>
        </c:scaling>
        <c:axPos val="b"/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8345216"/>
        <c:crosses val="autoZero"/>
        <c:crossBetween val="midCat"/>
      </c:valAx>
      <c:valAx>
        <c:axId val="12834521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834304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627967620552325"/>
          <c:y val="0.39493670886075971"/>
          <c:w val="0.14077686891080365"/>
          <c:h val="0.1620253164556962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>
        <c:manualLayout>
          <c:layoutTarget val="inner"/>
          <c:xMode val="edge"/>
          <c:yMode val="edge"/>
          <c:x val="0.11812316400429185"/>
          <c:y val="6.5822784810126642E-2"/>
          <c:w val="0.6699039712024224"/>
          <c:h val="0.82025316455696184"/>
        </c:manualLayout>
      </c:layout>
      <c:scatterChart>
        <c:scatterStyle val="lineMarker"/>
        <c:ser>
          <c:idx val="0"/>
          <c:order val="0"/>
          <c:tx>
            <c:strRef>
              <c:f>Ord!$B$41</c:f>
              <c:strCache>
                <c:ptCount val="1"/>
                <c:pt idx="0">
                  <c:v>2 partes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5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Ord!$C$40:$L$40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Ord!$C$41:$L$41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648.99</c:v>
                </c:pt>
                <c:pt idx="3">
                  <c:v>3908.75</c:v>
                </c:pt>
                <c:pt idx="4">
                  <c:v>4631.1499999999996</c:v>
                </c:pt>
                <c:pt idx="5">
                  <c:v>20186.75</c:v>
                </c:pt>
                <c:pt idx="6">
                  <c:v>30778.55</c:v>
                </c:pt>
                <c:pt idx="7">
                  <c:v>86382.55</c:v>
                </c:pt>
                <c:pt idx="8">
                  <c:v>95174.55</c:v>
                </c:pt>
                <c:pt idx="9">
                  <c:v>115174.55</c:v>
                </c:pt>
              </c:numCache>
            </c:numRef>
          </c:yVal>
        </c:ser>
        <c:ser>
          <c:idx val="1"/>
          <c:order val="1"/>
          <c:tx>
            <c:strRef>
              <c:f>Ord!$B$42</c:f>
              <c:strCache>
                <c:ptCount val="1"/>
                <c:pt idx="0">
                  <c:v>4 partes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Pt>
            <c:idx val="6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Ord!$C$40:$L$40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Ord!$C$42:$L$42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9262.2999999999993</c:v>
                </c:pt>
                <c:pt idx="6">
                  <c:v>19854.099999999999</c:v>
                </c:pt>
                <c:pt idx="7">
                  <c:v>61557.1</c:v>
                </c:pt>
                <c:pt idx="8">
                  <c:v>70349.100000000006</c:v>
                </c:pt>
                <c:pt idx="9">
                  <c:v>90349.1</c:v>
                </c:pt>
              </c:numCache>
            </c:numRef>
          </c:yVal>
        </c:ser>
        <c:ser>
          <c:idx val="2"/>
          <c:order val="2"/>
          <c:tx>
            <c:strRef>
              <c:f>Ord!$B$43</c:f>
              <c:strCache>
                <c:ptCount val="1"/>
                <c:pt idx="0">
                  <c:v>ISR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Ord!$C$40:$L$40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Ord!$C$43:$L$43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10842.75</c:v>
                </c:pt>
                <c:pt idx="6">
                  <c:v>21434.55</c:v>
                </c:pt>
                <c:pt idx="7">
                  <c:v>77038.55</c:v>
                </c:pt>
                <c:pt idx="8">
                  <c:v>85830.55</c:v>
                </c:pt>
                <c:pt idx="9">
                  <c:v>105830.55</c:v>
                </c:pt>
              </c:numCache>
            </c:numRef>
          </c:yVal>
        </c:ser>
        <c:axId val="128733568"/>
        <c:axId val="128735488"/>
      </c:scatterChart>
      <c:valAx>
        <c:axId val="128733568"/>
        <c:scaling>
          <c:orientation val="minMax"/>
        </c:scaling>
        <c:axPos val="b"/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8735488"/>
        <c:crosses val="autoZero"/>
        <c:crossBetween val="midCat"/>
      </c:valAx>
      <c:valAx>
        <c:axId val="12873548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873356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627967620552325"/>
          <c:y val="0.39493670886075971"/>
          <c:w val="0.14077686891080365"/>
          <c:h val="0.1620253164556962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>
        <c:manualLayout>
          <c:layoutTarget val="inner"/>
          <c:xMode val="edge"/>
          <c:yMode val="edge"/>
          <c:x val="0.11812316400429185"/>
          <c:y val="6.5822784810126642E-2"/>
          <c:w val="0.6699039712024224"/>
          <c:h val="0.82025316455696184"/>
        </c:manualLayout>
      </c:layout>
      <c:scatterChart>
        <c:scatterStyle val="lineMarker"/>
        <c:ser>
          <c:idx val="0"/>
          <c:order val="0"/>
          <c:tx>
            <c:strRef>
              <c:f>Extr!$B$41</c:f>
              <c:strCache>
                <c:ptCount val="1"/>
                <c:pt idx="0">
                  <c:v>2 partes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5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Extr!$C$40:$L$40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Extr!$C$41:$L$41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648.99</c:v>
                </c:pt>
                <c:pt idx="3">
                  <c:v>3908.75</c:v>
                </c:pt>
                <c:pt idx="4">
                  <c:v>4631.1499999999996</c:v>
                </c:pt>
                <c:pt idx="5">
                  <c:v>20186.75</c:v>
                </c:pt>
                <c:pt idx="6">
                  <c:v>30778.55</c:v>
                </c:pt>
                <c:pt idx="7">
                  <c:v>86382.55</c:v>
                </c:pt>
                <c:pt idx="8">
                  <c:v>95174.55</c:v>
                </c:pt>
                <c:pt idx="9">
                  <c:v>115174.55</c:v>
                </c:pt>
              </c:numCache>
            </c:numRef>
          </c:yVal>
        </c:ser>
        <c:ser>
          <c:idx val="1"/>
          <c:order val="1"/>
          <c:tx>
            <c:strRef>
              <c:f>Extr!$B$42</c:f>
              <c:strCache>
                <c:ptCount val="1"/>
                <c:pt idx="0">
                  <c:v>4 partes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Pt>
            <c:idx val="6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Extr!$C$40:$L$40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Extr!$C$42:$L$42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9262.2999999999993</c:v>
                </c:pt>
                <c:pt idx="6">
                  <c:v>19854.099999999999</c:v>
                </c:pt>
                <c:pt idx="7">
                  <c:v>61557.1</c:v>
                </c:pt>
                <c:pt idx="8">
                  <c:v>70349.100000000006</c:v>
                </c:pt>
                <c:pt idx="9">
                  <c:v>90349.1</c:v>
                </c:pt>
              </c:numCache>
            </c:numRef>
          </c:yVal>
        </c:ser>
        <c:ser>
          <c:idx val="2"/>
          <c:order val="2"/>
          <c:tx>
            <c:strRef>
              <c:f>Extr!$B$43</c:f>
              <c:strCache>
                <c:ptCount val="1"/>
                <c:pt idx="0">
                  <c:v>ISR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Extr!$C$40:$L$40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Extr!$C$43:$L$43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10842.75</c:v>
                </c:pt>
                <c:pt idx="6">
                  <c:v>21434.55</c:v>
                </c:pt>
                <c:pt idx="7">
                  <c:v>77038.55</c:v>
                </c:pt>
                <c:pt idx="8">
                  <c:v>85830.55</c:v>
                </c:pt>
                <c:pt idx="9">
                  <c:v>105830.55</c:v>
                </c:pt>
              </c:numCache>
            </c:numRef>
          </c:yVal>
        </c:ser>
        <c:axId val="128873984"/>
        <c:axId val="128875904"/>
      </c:scatterChart>
      <c:valAx>
        <c:axId val="128873984"/>
        <c:scaling>
          <c:orientation val="minMax"/>
        </c:scaling>
        <c:axPos val="b"/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8875904"/>
        <c:crosses val="autoZero"/>
        <c:crossBetween val="midCat"/>
      </c:valAx>
      <c:valAx>
        <c:axId val="12887590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887398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627967620552325"/>
          <c:y val="0.39493670886075971"/>
          <c:w val="0.14077686891080365"/>
          <c:h val="0.1620253164556962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>
        <c:manualLayout>
          <c:layoutTarget val="inner"/>
          <c:xMode val="edge"/>
          <c:yMode val="edge"/>
          <c:x val="0.11812316400429185"/>
          <c:y val="6.5822784810126642E-2"/>
          <c:w val="0.6699039712024224"/>
          <c:h val="0.82025316455696184"/>
        </c:manualLayout>
      </c:layout>
      <c:scatterChart>
        <c:scatterStyle val="lineMarker"/>
        <c:ser>
          <c:idx val="0"/>
          <c:order val="0"/>
          <c:tx>
            <c:strRef>
              <c:f>'Ord 11'!$B$41</c:f>
              <c:strCache>
                <c:ptCount val="1"/>
                <c:pt idx="0">
                  <c:v>2 partes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5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'Ord 11'!$C$40:$L$40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'Ord 11'!$C$41:$L$41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648.99</c:v>
                </c:pt>
                <c:pt idx="3">
                  <c:v>3908.75</c:v>
                </c:pt>
                <c:pt idx="4">
                  <c:v>4631.1499999999996</c:v>
                </c:pt>
                <c:pt idx="5">
                  <c:v>20186.75</c:v>
                </c:pt>
                <c:pt idx="6">
                  <c:v>30778.55</c:v>
                </c:pt>
                <c:pt idx="7">
                  <c:v>86382.55</c:v>
                </c:pt>
                <c:pt idx="8">
                  <c:v>95174.55</c:v>
                </c:pt>
                <c:pt idx="9">
                  <c:v>115174.55</c:v>
                </c:pt>
              </c:numCache>
            </c:numRef>
          </c:yVal>
        </c:ser>
        <c:ser>
          <c:idx val="1"/>
          <c:order val="1"/>
          <c:tx>
            <c:strRef>
              <c:f>'Ord 11'!$B$42</c:f>
              <c:strCache>
                <c:ptCount val="1"/>
                <c:pt idx="0">
                  <c:v>4 partes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Pt>
            <c:idx val="6"/>
            <c:marker>
              <c:symbol val="none"/>
            </c:marker>
          </c:dPt>
          <c:dPt>
            <c:idx val="7"/>
            <c:spPr>
              <a:ln w="12700">
                <a:solidFill>
                  <a:srgbClr val="339966"/>
                </a:solidFill>
                <a:prstDash val="dash"/>
              </a:ln>
            </c:spP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  <c:spPr>
              <a:ln w="12700">
                <a:solidFill>
                  <a:srgbClr val="339966"/>
                </a:solidFill>
                <a:prstDash val="dash"/>
              </a:ln>
            </c:spPr>
          </c:dPt>
          <c:xVal>
            <c:numRef>
              <c:f>'Ord 11'!$C$40:$L$40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'Ord 11'!$C$42:$L$42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9262.2999999999993</c:v>
                </c:pt>
                <c:pt idx="6">
                  <c:v>19854.099999999999</c:v>
                </c:pt>
                <c:pt idx="7">
                  <c:v>61557.1</c:v>
                </c:pt>
                <c:pt idx="8">
                  <c:v>70349.100000000006</c:v>
                </c:pt>
                <c:pt idx="9">
                  <c:v>90349.1</c:v>
                </c:pt>
              </c:numCache>
            </c:numRef>
          </c:yVal>
        </c:ser>
        <c:ser>
          <c:idx val="2"/>
          <c:order val="2"/>
          <c:tx>
            <c:strRef>
              <c:f>'Ord 11'!$B$43</c:f>
              <c:strCache>
                <c:ptCount val="1"/>
                <c:pt idx="0">
                  <c:v>ISR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'Ord 11'!$C$40:$L$40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'Ord 11'!$C$43:$L$43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11018.75</c:v>
                </c:pt>
                <c:pt idx="6">
                  <c:v>21610.55</c:v>
                </c:pt>
                <c:pt idx="7">
                  <c:v>77214.55</c:v>
                </c:pt>
                <c:pt idx="8">
                  <c:v>86006.55</c:v>
                </c:pt>
                <c:pt idx="9">
                  <c:v>106006.55</c:v>
                </c:pt>
              </c:numCache>
            </c:numRef>
          </c:yVal>
        </c:ser>
        <c:axId val="131198336"/>
        <c:axId val="131212800"/>
      </c:scatterChart>
      <c:valAx>
        <c:axId val="131198336"/>
        <c:scaling>
          <c:orientation val="minMax"/>
        </c:scaling>
        <c:axPos val="b"/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1212800"/>
        <c:crosses val="autoZero"/>
        <c:crossBetween val="midCat"/>
      </c:valAx>
      <c:valAx>
        <c:axId val="13121280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11983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627967620552325"/>
          <c:y val="0.39493670886075971"/>
          <c:w val="0.14077686891080365"/>
          <c:h val="0.1620253164556962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Calcule du ISR</a:t>
            </a:r>
          </a:p>
        </c:rich>
      </c:tx>
      <c:layout>
        <c:manualLayout>
          <c:xMode val="edge"/>
          <c:yMode val="edge"/>
          <c:x val="0.40518638573743937"/>
          <c:y val="3.291139240506332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5721231766612653"/>
          <c:y val="0.17721518987341783"/>
          <c:w val="0.6304700162074558"/>
          <c:h val="0.64810126582278482"/>
        </c:manualLayout>
      </c:layout>
      <c:scatterChart>
        <c:scatterStyle val="lineMarker"/>
        <c:ser>
          <c:idx val="0"/>
          <c:order val="0"/>
          <c:tx>
            <c:strRef>
              <c:f>Prinicpios!$B$37</c:f>
              <c:strCache>
                <c:ptCount val="1"/>
                <c:pt idx="0">
                  <c:v>2 partes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5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Prinicpios!$C$36:$L$36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Prinicpios!$C$37:$L$37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648.99</c:v>
                </c:pt>
                <c:pt idx="3">
                  <c:v>3908.75</c:v>
                </c:pt>
                <c:pt idx="4">
                  <c:v>4631.1499999999996</c:v>
                </c:pt>
                <c:pt idx="5">
                  <c:v>20186.75</c:v>
                </c:pt>
                <c:pt idx="6">
                  <c:v>30778.55</c:v>
                </c:pt>
                <c:pt idx="7">
                  <c:v>86382.55</c:v>
                </c:pt>
                <c:pt idx="8">
                  <c:v>95174.55</c:v>
                </c:pt>
                <c:pt idx="9">
                  <c:v>115174.55</c:v>
                </c:pt>
              </c:numCache>
            </c:numRef>
          </c:yVal>
        </c:ser>
        <c:ser>
          <c:idx val="1"/>
          <c:order val="1"/>
          <c:tx>
            <c:strRef>
              <c:f>Prinicpios!$B$38</c:f>
              <c:strCache>
                <c:ptCount val="1"/>
                <c:pt idx="0">
                  <c:v>4 partes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Pt>
            <c:idx val="6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xVal>
            <c:numRef>
              <c:f>Prinicpios!$C$36:$L$36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Prinicpios!$C$38:$L$38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9262.2999999999993</c:v>
                </c:pt>
                <c:pt idx="6">
                  <c:v>19854.099999999999</c:v>
                </c:pt>
                <c:pt idx="7">
                  <c:v>61557.1</c:v>
                </c:pt>
                <c:pt idx="8">
                  <c:v>70349.100000000006</c:v>
                </c:pt>
                <c:pt idx="9">
                  <c:v>90349.1</c:v>
                </c:pt>
              </c:numCache>
            </c:numRef>
          </c:yVal>
        </c:ser>
        <c:ser>
          <c:idx val="2"/>
          <c:order val="2"/>
          <c:tx>
            <c:strRef>
              <c:f>Prinicpios!$B$39</c:f>
              <c:strCache>
                <c:ptCount val="1"/>
                <c:pt idx="0">
                  <c:v>ISR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Prinicpios!$C$36:$L$36</c:f>
              <c:numCache>
                <c:formatCode>#,##0</c:formatCode>
                <c:ptCount val="10"/>
                <c:pt idx="0">
                  <c:v>0</c:v>
                </c:pt>
                <c:pt idx="1">
                  <c:v>11704</c:v>
                </c:pt>
                <c:pt idx="2">
                  <c:v>23408</c:v>
                </c:pt>
                <c:pt idx="3">
                  <c:v>46692</c:v>
                </c:pt>
                <c:pt idx="4">
                  <c:v>51852</c:v>
                </c:pt>
                <c:pt idx="5">
                  <c:v>103704</c:v>
                </c:pt>
                <c:pt idx="6">
                  <c:v>139010</c:v>
                </c:pt>
                <c:pt idx="7">
                  <c:v>278020</c:v>
                </c:pt>
                <c:pt idx="8">
                  <c:v>300000</c:v>
                </c:pt>
                <c:pt idx="9">
                  <c:v>350000</c:v>
                </c:pt>
              </c:numCache>
            </c:numRef>
          </c:xVal>
          <c:yVal>
            <c:numRef>
              <c:f>Prinicpios!$C$39:$L$39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1280.6199999999999</c:v>
                </c:pt>
                <c:pt idx="4">
                  <c:v>2003.02</c:v>
                </c:pt>
                <c:pt idx="5">
                  <c:v>10842.75</c:v>
                </c:pt>
                <c:pt idx="6">
                  <c:v>21434.55</c:v>
                </c:pt>
                <c:pt idx="7">
                  <c:v>77038.55</c:v>
                </c:pt>
                <c:pt idx="8">
                  <c:v>85830.55</c:v>
                </c:pt>
                <c:pt idx="9">
                  <c:v>105830.55</c:v>
                </c:pt>
              </c:numCache>
            </c:numRef>
          </c:yVal>
        </c:ser>
        <c:axId val="131875584"/>
        <c:axId val="131877888"/>
      </c:scatterChart>
      <c:valAx>
        <c:axId val="131875584"/>
        <c:scaling>
          <c:orientation val="minMax"/>
          <c:max val="350000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Revenues Nettes</a:t>
                </a:r>
              </a:p>
            </c:rich>
          </c:tx>
          <c:layout>
            <c:manualLayout>
              <c:xMode val="edge"/>
              <c:yMode val="edge"/>
              <c:x val="0.38411669367909262"/>
              <c:y val="0.90379746835443064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1877888"/>
        <c:crosses val="autoZero"/>
        <c:crossBetween val="midCat"/>
      </c:valAx>
      <c:valAx>
        <c:axId val="13187788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ISR</a:t>
                </a:r>
              </a:p>
            </c:rich>
          </c:tx>
          <c:layout>
            <c:manualLayout>
              <c:xMode val="edge"/>
              <c:yMode val="edge"/>
              <c:x val="2.5931928687196126E-2"/>
              <c:y val="0.46835443037974706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187558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602917341977357"/>
          <c:y val="0.42025316455696204"/>
          <c:w val="0.14100486223662889"/>
          <c:h val="0.1620253164556962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1699" name="Picture 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1700" name="Picture 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1701" name="Picture 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1702" name="Picture 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1703" name="Picture 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1704" name="Picture 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1705" name="Picture 7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1706" name="Picture 8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1707" name="Picture 9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1708" name="Picture 10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1709" name="Picture 1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1710" name="Picture 1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1711" name="Picture 1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1712" name="Picture 1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1713" name="Picture 1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1714" name="Picture 1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323850</xdr:colOff>
      <xdr:row>44</xdr:row>
      <xdr:rowOff>76200</xdr:rowOff>
    </xdr:from>
    <xdr:to>
      <xdr:col>11</xdr:col>
      <xdr:colOff>114300</xdr:colOff>
      <xdr:row>67</xdr:row>
      <xdr:rowOff>114300</xdr:rowOff>
    </xdr:to>
    <xdr:graphicFrame macro="">
      <xdr:nvGraphicFramePr>
        <xdr:cNvPr id="11715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619125</xdr:colOff>
      <xdr:row>49</xdr:row>
      <xdr:rowOff>47625</xdr:rowOff>
    </xdr:from>
    <xdr:to>
      <xdr:col>14</xdr:col>
      <xdr:colOff>180975</xdr:colOff>
      <xdr:row>56</xdr:row>
      <xdr:rowOff>66675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001125" y="7981950"/>
          <a:ext cx="1847850" cy="115252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Conclusion: a partir de 139.010 € el marginal es del 40%, dado el plafond familial, se aplica la tabla de " partes minorada de 9.168 €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3746" name="Picture 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3747" name="Picture 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3748" name="Picture 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3749" name="Picture 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3750" name="Picture 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3751" name="Picture 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3752" name="Picture 7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3753" name="Picture 8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3754" name="Picture 9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3755" name="Picture 10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3756" name="Picture 1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3757" name="Picture 1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3758" name="Picture 1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3759" name="Picture 1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3760" name="Picture 1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3761" name="Picture 1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323850</xdr:colOff>
      <xdr:row>44</xdr:row>
      <xdr:rowOff>76200</xdr:rowOff>
    </xdr:from>
    <xdr:to>
      <xdr:col>11</xdr:col>
      <xdr:colOff>114300</xdr:colOff>
      <xdr:row>67</xdr:row>
      <xdr:rowOff>114300</xdr:rowOff>
    </xdr:to>
    <xdr:graphicFrame macro="">
      <xdr:nvGraphicFramePr>
        <xdr:cNvPr id="13762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619125</xdr:colOff>
      <xdr:row>49</xdr:row>
      <xdr:rowOff>47625</xdr:rowOff>
    </xdr:from>
    <xdr:to>
      <xdr:col>14</xdr:col>
      <xdr:colOff>180975</xdr:colOff>
      <xdr:row>56</xdr:row>
      <xdr:rowOff>66675</xdr:rowOff>
    </xdr:to>
    <xdr:sp macro="" textlink="">
      <xdr:nvSpPr>
        <xdr:cNvPr id="13330" name="Text Box 18"/>
        <xdr:cNvSpPr txBox="1">
          <a:spLocks noChangeArrowheads="1"/>
        </xdr:cNvSpPr>
      </xdr:nvSpPr>
      <xdr:spPr bwMode="auto">
        <a:xfrm>
          <a:off x="9001125" y="7981950"/>
          <a:ext cx="1847850" cy="115252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Conclusion: a partir de 139.010 € el marginal es del 40%, dado el plafond familial, se aplica la tabla de " partes minorada de 9.168 €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4529" name="Picture 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4530" name="Picture 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4531" name="Picture 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4532" name="Picture 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4533" name="Picture 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4534" name="Picture 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4535" name="Picture 7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4536" name="Picture 8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4537" name="Picture 9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4538" name="Picture 10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4539" name="Picture 1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4540" name="Picture 1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4541" name="Picture 1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4542" name="Picture 1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4543" name="Picture 1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4544" name="Picture 1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323850</xdr:colOff>
      <xdr:row>44</xdr:row>
      <xdr:rowOff>76200</xdr:rowOff>
    </xdr:from>
    <xdr:to>
      <xdr:col>11</xdr:col>
      <xdr:colOff>114300</xdr:colOff>
      <xdr:row>67</xdr:row>
      <xdr:rowOff>114300</xdr:rowOff>
    </xdr:to>
    <xdr:graphicFrame macro="">
      <xdr:nvGraphicFramePr>
        <xdr:cNvPr id="4545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619125</xdr:colOff>
      <xdr:row>49</xdr:row>
      <xdr:rowOff>47625</xdr:rowOff>
    </xdr:from>
    <xdr:to>
      <xdr:col>14</xdr:col>
      <xdr:colOff>180975</xdr:colOff>
      <xdr:row>56</xdr:row>
      <xdr:rowOff>66675</xdr:rowOff>
    </xdr:to>
    <xdr:sp macro="" textlink="">
      <xdr:nvSpPr>
        <xdr:cNvPr id="4114" name="Text Box 18"/>
        <xdr:cNvSpPr txBox="1">
          <a:spLocks noChangeArrowheads="1"/>
        </xdr:cNvSpPr>
      </xdr:nvSpPr>
      <xdr:spPr bwMode="auto">
        <a:xfrm>
          <a:off x="9001125" y="7981950"/>
          <a:ext cx="1847850" cy="115252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Conclusion: a partir de 139.010 € el marginal es del 40%, dado el plafond familial, se aplica la tabla de " partes minorada de 9.168 €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8865" name="Picture 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8866" name="Picture 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8867" name="Picture 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8868" name="Picture 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8869" name="Picture 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8870" name="Picture 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0</xdr:colOff>
      <xdr:row>5</xdr:row>
      <xdr:rowOff>9525</xdr:rowOff>
    </xdr:to>
    <xdr:pic>
      <xdr:nvPicPr>
        <xdr:cNvPr id="18871" name="Picture 7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0</xdr:colOff>
      <xdr:row>5</xdr:row>
      <xdr:rowOff>9525</xdr:rowOff>
    </xdr:to>
    <xdr:pic>
      <xdr:nvPicPr>
        <xdr:cNvPr id="18872" name="Picture 8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8873" name="Picture 9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8874" name="Picture 10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8875" name="Picture 1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8876" name="Picture 1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8877" name="Picture 1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8878" name="Picture 1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0</xdr:colOff>
      <xdr:row>25</xdr:row>
      <xdr:rowOff>9525</xdr:rowOff>
    </xdr:to>
    <xdr:pic>
      <xdr:nvPicPr>
        <xdr:cNvPr id="18879" name="Picture 1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0</xdr:colOff>
      <xdr:row>25</xdr:row>
      <xdr:rowOff>9525</xdr:rowOff>
    </xdr:to>
    <xdr:pic>
      <xdr:nvPicPr>
        <xdr:cNvPr id="18880" name="Picture 1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323850</xdr:colOff>
      <xdr:row>44</xdr:row>
      <xdr:rowOff>76200</xdr:rowOff>
    </xdr:from>
    <xdr:to>
      <xdr:col>11</xdr:col>
      <xdr:colOff>114300</xdr:colOff>
      <xdr:row>67</xdr:row>
      <xdr:rowOff>114300</xdr:rowOff>
    </xdr:to>
    <xdr:graphicFrame macro="">
      <xdr:nvGraphicFramePr>
        <xdr:cNvPr id="18881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619125</xdr:colOff>
      <xdr:row>49</xdr:row>
      <xdr:rowOff>47625</xdr:rowOff>
    </xdr:from>
    <xdr:to>
      <xdr:col>14</xdr:col>
      <xdr:colOff>180975</xdr:colOff>
      <xdr:row>56</xdr:row>
      <xdr:rowOff>66675</xdr:rowOff>
    </xdr:to>
    <xdr:sp macro="" textlink="">
      <xdr:nvSpPr>
        <xdr:cNvPr id="18450" name="Text Box 18"/>
        <xdr:cNvSpPr txBox="1">
          <a:spLocks noChangeArrowheads="1"/>
        </xdr:cNvSpPr>
      </xdr:nvSpPr>
      <xdr:spPr bwMode="auto">
        <a:xfrm>
          <a:off x="9001125" y="7981950"/>
          <a:ext cx="1847850" cy="115252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Conclusion: a partir de 139.010 € el marginal es del 40%, dado el plafond familial; se aplica la tabla de 2 partes minorada de 9.168 €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13</xdr:col>
      <xdr:colOff>9525</xdr:colOff>
      <xdr:row>5</xdr:row>
      <xdr:rowOff>9525</xdr:rowOff>
    </xdr:to>
    <xdr:pic>
      <xdr:nvPicPr>
        <xdr:cNvPr id="2549" name="Picture 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6575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9525</xdr:colOff>
      <xdr:row>5</xdr:row>
      <xdr:rowOff>9525</xdr:rowOff>
    </xdr:to>
    <xdr:pic>
      <xdr:nvPicPr>
        <xdr:cNvPr id="2550" name="Picture 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9525</xdr:colOff>
      <xdr:row>5</xdr:row>
      <xdr:rowOff>9525</xdr:rowOff>
    </xdr:to>
    <xdr:pic>
      <xdr:nvPicPr>
        <xdr:cNvPr id="2551" name="Picture 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6575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9525</xdr:colOff>
      <xdr:row>5</xdr:row>
      <xdr:rowOff>9525</xdr:rowOff>
    </xdr:to>
    <xdr:pic>
      <xdr:nvPicPr>
        <xdr:cNvPr id="2552" name="Picture 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9525</xdr:colOff>
      <xdr:row>5</xdr:row>
      <xdr:rowOff>9525</xdr:rowOff>
    </xdr:to>
    <xdr:pic>
      <xdr:nvPicPr>
        <xdr:cNvPr id="2553" name="Picture 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6575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9525</xdr:colOff>
      <xdr:row>5</xdr:row>
      <xdr:rowOff>9525</xdr:rowOff>
    </xdr:to>
    <xdr:pic>
      <xdr:nvPicPr>
        <xdr:cNvPr id="2554" name="Picture 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13</xdr:col>
      <xdr:colOff>9525</xdr:colOff>
      <xdr:row>5</xdr:row>
      <xdr:rowOff>9525</xdr:rowOff>
    </xdr:to>
    <xdr:pic>
      <xdr:nvPicPr>
        <xdr:cNvPr id="2555" name="Picture 7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6575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14</xdr:col>
      <xdr:colOff>9525</xdr:colOff>
      <xdr:row>5</xdr:row>
      <xdr:rowOff>9525</xdr:rowOff>
    </xdr:to>
    <xdr:pic>
      <xdr:nvPicPr>
        <xdr:cNvPr id="2556" name="Picture 8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8096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9525</xdr:colOff>
      <xdr:row>25</xdr:row>
      <xdr:rowOff>9525</xdr:rowOff>
    </xdr:to>
    <xdr:pic>
      <xdr:nvPicPr>
        <xdr:cNvPr id="2557" name="Picture 9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6575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9525</xdr:colOff>
      <xdr:row>25</xdr:row>
      <xdr:rowOff>9525</xdr:rowOff>
    </xdr:to>
    <xdr:pic>
      <xdr:nvPicPr>
        <xdr:cNvPr id="2558" name="Picture 10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9525</xdr:colOff>
      <xdr:row>25</xdr:row>
      <xdr:rowOff>9525</xdr:rowOff>
    </xdr:to>
    <xdr:pic>
      <xdr:nvPicPr>
        <xdr:cNvPr id="2559" name="Picture 11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6575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9525</xdr:colOff>
      <xdr:row>25</xdr:row>
      <xdr:rowOff>9525</xdr:rowOff>
    </xdr:to>
    <xdr:pic>
      <xdr:nvPicPr>
        <xdr:cNvPr id="2560" name="Picture 12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9525</xdr:colOff>
      <xdr:row>25</xdr:row>
      <xdr:rowOff>9525</xdr:rowOff>
    </xdr:to>
    <xdr:pic>
      <xdr:nvPicPr>
        <xdr:cNvPr id="2561" name="Picture 13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6575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9525</xdr:colOff>
      <xdr:row>25</xdr:row>
      <xdr:rowOff>9525</xdr:rowOff>
    </xdr:to>
    <xdr:pic>
      <xdr:nvPicPr>
        <xdr:cNvPr id="2562" name="Picture 14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13</xdr:col>
      <xdr:colOff>9525</xdr:colOff>
      <xdr:row>25</xdr:row>
      <xdr:rowOff>9525</xdr:rowOff>
    </xdr:to>
    <xdr:pic>
      <xdr:nvPicPr>
        <xdr:cNvPr id="2563" name="Picture 15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6575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14</xdr:col>
      <xdr:colOff>9525</xdr:colOff>
      <xdr:row>25</xdr:row>
      <xdr:rowOff>9525</xdr:rowOff>
    </xdr:to>
    <xdr:pic>
      <xdr:nvPicPr>
        <xdr:cNvPr id="2564" name="Picture 16" descr="10sur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4048125"/>
          <a:ext cx="76200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323850</xdr:colOff>
      <xdr:row>44</xdr:row>
      <xdr:rowOff>76200</xdr:rowOff>
    </xdr:from>
    <xdr:to>
      <xdr:col>11</xdr:col>
      <xdr:colOff>114300</xdr:colOff>
      <xdr:row>67</xdr:row>
      <xdr:rowOff>114300</xdr:rowOff>
    </xdr:to>
    <xdr:graphicFrame macro="">
      <xdr:nvGraphicFramePr>
        <xdr:cNvPr id="2565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619125</xdr:colOff>
      <xdr:row>49</xdr:row>
      <xdr:rowOff>47625</xdr:rowOff>
    </xdr:from>
    <xdr:to>
      <xdr:col>14</xdr:col>
      <xdr:colOff>180975</xdr:colOff>
      <xdr:row>56</xdr:row>
      <xdr:rowOff>66675</xdr:rowOff>
    </xdr:to>
    <xdr:sp macro="" textlink="">
      <xdr:nvSpPr>
        <xdr:cNvPr id="2068" name="Text Box 20"/>
        <xdr:cNvSpPr txBox="1">
          <a:spLocks noChangeArrowheads="1"/>
        </xdr:cNvSpPr>
      </xdr:nvSpPr>
      <xdr:spPr bwMode="auto">
        <a:xfrm>
          <a:off x="9782175" y="7981950"/>
          <a:ext cx="1847850" cy="115252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Conclusion: a partir de 139.010 € el marginal es del 40%, dado el plafond familial, se aplica la tabla de 2 partes minorada de 9.168 €</a:t>
          </a:r>
        </a:p>
      </xdr:txBody>
    </xdr:sp>
    <xdr:clientData/>
  </xdr:twoCellAnchor>
  <xdr:twoCellAnchor>
    <xdr:from>
      <xdr:col>0</xdr:col>
      <xdr:colOff>590550</xdr:colOff>
      <xdr:row>52</xdr:row>
      <xdr:rowOff>0</xdr:rowOff>
    </xdr:from>
    <xdr:to>
      <xdr:col>3</xdr:col>
      <xdr:colOff>161925</xdr:colOff>
      <xdr:row>61</xdr:row>
      <xdr:rowOff>9525</xdr:rowOff>
    </xdr:to>
    <xdr:sp macro="" textlink="">
      <xdr:nvSpPr>
        <xdr:cNvPr id="2069" name="Text Box 21"/>
        <xdr:cNvSpPr txBox="1">
          <a:spLocks noChangeArrowheads="1"/>
        </xdr:cNvSpPr>
      </xdr:nvSpPr>
      <xdr:spPr bwMode="auto">
        <a:xfrm>
          <a:off x="590550" y="8420100"/>
          <a:ext cx="2647950" cy="146685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El desplazamiento de la indemnizacion al año siguiente con reduccion de impuestos tiene efecto hasta completar ingresos de 139.010 €. Apartir de esta cifra ya no hay mas mejora fiscal (se traslada marginal al 40% del 2009 al 2010)</a:t>
          </a:r>
        </a:p>
        <a:p>
          <a:pPr algn="ctr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U113"/>
  <sheetViews>
    <sheetView showGridLines="0" tabSelected="1" topLeftCell="D87" workbookViewId="0">
      <selection activeCell="J110" sqref="J110"/>
    </sheetView>
  </sheetViews>
  <sheetFormatPr baseColWidth="10" defaultRowHeight="12.75"/>
  <cols>
    <col min="1" max="1" width="11.42578125" style="71"/>
    <col min="2" max="2" width="3" style="72" customWidth="1"/>
    <col min="3" max="3" width="4.7109375" style="72" customWidth="1"/>
    <col min="4" max="4" width="6.5703125" style="71" customWidth="1"/>
    <col min="5" max="5" width="25.5703125" style="71" customWidth="1"/>
    <col min="6" max="6" width="11.42578125" style="71"/>
    <col min="7" max="7" width="11.7109375" style="71" bestFit="1" customWidth="1"/>
    <col min="8" max="10" width="11.42578125" style="71"/>
    <col min="11" max="11" width="2.42578125" style="71" customWidth="1"/>
    <col min="12" max="13" width="10.42578125" style="71" customWidth="1"/>
    <col min="14" max="14" width="32.5703125" style="71" customWidth="1"/>
    <col min="15" max="18" width="10.42578125" style="71" customWidth="1"/>
    <col min="19" max="19" width="29" style="71" bestFit="1" customWidth="1"/>
    <col min="20" max="22" width="10.42578125" style="71" customWidth="1"/>
    <col min="23" max="23" width="29" style="71" bestFit="1" customWidth="1"/>
    <col min="24" max="26" width="11.42578125" style="71"/>
    <col min="27" max="27" width="28.140625" style="71" bestFit="1" customWidth="1"/>
    <col min="28" max="16384" width="11.42578125" style="71"/>
  </cols>
  <sheetData>
    <row r="2" spans="2:21">
      <c r="B2" s="72" t="s">
        <v>51</v>
      </c>
    </row>
    <row r="3" spans="2:21">
      <c r="F3" s="75"/>
      <c r="G3" s="75"/>
      <c r="H3" s="75"/>
      <c r="I3" s="75"/>
      <c r="J3" s="75"/>
    </row>
    <row r="4" spans="2:21">
      <c r="C4" s="72">
        <v>1.1000000000000001</v>
      </c>
      <c r="D4" s="71" t="s">
        <v>65</v>
      </c>
    </row>
    <row r="5" spans="2:21" s="73" customFormat="1" ht="25.5">
      <c r="B5" s="74"/>
      <c r="C5" s="74"/>
      <c r="F5" s="113" t="s">
        <v>57</v>
      </c>
      <c r="G5" s="114" t="s">
        <v>58</v>
      </c>
      <c r="H5" s="114" t="s">
        <v>60</v>
      </c>
      <c r="I5" s="114" t="s">
        <v>59</v>
      </c>
      <c r="J5" s="115" t="s">
        <v>50</v>
      </c>
      <c r="M5" s="71"/>
    </row>
    <row r="6" spans="2:21">
      <c r="D6" s="119" t="s">
        <v>52</v>
      </c>
      <c r="E6" s="104" t="s">
        <v>54</v>
      </c>
      <c r="F6" s="116">
        <v>17133.79</v>
      </c>
      <c r="G6" s="105">
        <f>4205.75-I6</f>
        <v>3642.64</v>
      </c>
      <c r="H6" s="105">
        <v>13982.41</v>
      </c>
      <c r="I6" s="105">
        <f>113.11+450</f>
        <v>563.11</v>
      </c>
      <c r="J6" s="106">
        <f>+F6-G6-I6</f>
        <v>12928.04</v>
      </c>
      <c r="L6" s="73"/>
    </row>
    <row r="7" spans="2:21">
      <c r="D7" s="120" t="s">
        <v>52</v>
      </c>
      <c r="E7" s="107" t="s">
        <v>53</v>
      </c>
      <c r="F7" s="117">
        <f>17133.79+97.89</f>
        <v>17231.68</v>
      </c>
      <c r="G7" s="108">
        <f>4300.33-I7</f>
        <v>3611.13</v>
      </c>
      <c r="H7" s="108">
        <f>14002.5+1784.86</f>
        <v>15787.36</v>
      </c>
      <c r="I7" s="108">
        <v>689.2</v>
      </c>
      <c r="J7" s="109">
        <f>12833.46+2147.14</f>
        <v>14980.599999999999</v>
      </c>
      <c r="L7" s="73"/>
      <c r="N7" s="71">
        <v>14446</v>
      </c>
    </row>
    <row r="8" spans="2:21">
      <c r="D8" s="120" t="s">
        <v>56</v>
      </c>
      <c r="E8" s="107" t="s">
        <v>84</v>
      </c>
      <c r="F8" s="117">
        <v>17133.79</v>
      </c>
      <c r="G8" s="108">
        <v>3371.34</v>
      </c>
      <c r="H8" s="108">
        <v>14251</v>
      </c>
      <c r="I8" s="108">
        <f>113.11+450</f>
        <v>563.11</v>
      </c>
      <c r="J8" s="109">
        <f>+F8-G8-I8</f>
        <v>13199.34</v>
      </c>
      <c r="L8" s="73"/>
    </row>
    <row r="9" spans="2:21">
      <c r="D9" s="121" t="s">
        <v>56</v>
      </c>
      <c r="E9" s="110" t="s">
        <v>55</v>
      </c>
      <c r="F9" s="118">
        <v>17133.79</v>
      </c>
      <c r="G9" s="111">
        <v>3379.65</v>
      </c>
      <c r="H9" s="111">
        <v>14242.69</v>
      </c>
      <c r="I9" s="111">
        <f>113.11+450</f>
        <v>563.11</v>
      </c>
      <c r="J9" s="112">
        <f>+F9-G9-I9</f>
        <v>13191.03</v>
      </c>
      <c r="L9" s="73"/>
    </row>
    <row r="10" spans="2:21">
      <c r="E10" s="110" t="s">
        <v>32</v>
      </c>
      <c r="F10" s="118">
        <f>SUM(F6:F9)</f>
        <v>68633.05</v>
      </c>
      <c r="G10" s="111">
        <f>SUM(G6:G9)</f>
        <v>14004.76</v>
      </c>
      <c r="H10" s="111">
        <f>SUM(H6:H9)</f>
        <v>58263.460000000006</v>
      </c>
      <c r="I10" s="111">
        <f>SUM(I6:I9)</f>
        <v>2378.5300000000002</v>
      </c>
      <c r="J10" s="112">
        <f>SUM(J6:J9)</f>
        <v>54299.009999999995</v>
      </c>
      <c r="L10" s="73"/>
    </row>
    <row r="11" spans="2:21">
      <c r="G11" s="75"/>
      <c r="H11" s="75"/>
      <c r="I11" s="75"/>
      <c r="J11" s="75"/>
      <c r="L11" s="73"/>
    </row>
    <row r="13" spans="2:21">
      <c r="C13" s="72">
        <v>1.2</v>
      </c>
      <c r="D13" s="71" t="s">
        <v>64</v>
      </c>
    </row>
    <row r="15" spans="2:21" s="76" customFormat="1" hidden="1">
      <c r="B15" s="77"/>
      <c r="C15" s="77"/>
      <c r="E15" s="78" t="s">
        <v>38</v>
      </c>
      <c r="F15" s="79" t="s">
        <v>39</v>
      </c>
      <c r="G15" s="80" t="s">
        <v>40</v>
      </c>
      <c r="H15" s="81" t="s">
        <v>41</v>
      </c>
      <c r="M15" s="71"/>
      <c r="N15" s="71"/>
      <c r="O15" s="71"/>
      <c r="P15" s="71"/>
      <c r="Q15" s="71"/>
      <c r="R15" s="71"/>
      <c r="S15" s="71"/>
      <c r="T15" s="71"/>
      <c r="U15" s="71"/>
    </row>
    <row r="16" spans="2:21" s="76" customFormat="1" hidden="1">
      <c r="B16" s="77"/>
      <c r="C16" s="77"/>
      <c r="E16" s="82" t="s">
        <v>42</v>
      </c>
      <c r="F16" s="83"/>
      <c r="G16" s="84"/>
      <c r="H16" s="85">
        <v>600000</v>
      </c>
      <c r="M16" s="71"/>
      <c r="N16" s="71"/>
      <c r="O16" s="71"/>
      <c r="P16" s="71"/>
      <c r="Q16" s="71"/>
      <c r="R16" s="71"/>
      <c r="S16" s="71"/>
      <c r="T16" s="71"/>
      <c r="U16" s="71"/>
    </row>
    <row r="17" spans="2:21" s="76" customFormat="1" hidden="1">
      <c r="B17" s="77"/>
      <c r="C17" s="77"/>
      <c r="E17" s="86" t="s">
        <v>43</v>
      </c>
      <c r="F17" s="87"/>
      <c r="G17" s="88"/>
      <c r="H17" s="89">
        <v>73249.357999999993</v>
      </c>
      <c r="M17" s="71"/>
      <c r="N17" s="71"/>
      <c r="O17" s="71"/>
      <c r="P17" s="71"/>
      <c r="Q17" s="71"/>
      <c r="R17" s="71"/>
      <c r="S17" s="71"/>
      <c r="T17" s="71"/>
      <c r="U17" s="71"/>
    </row>
    <row r="18" spans="2:21" s="76" customFormat="1" ht="15.75" hidden="1">
      <c r="B18" s="77"/>
      <c r="C18" s="77"/>
      <c r="E18" s="86" t="s">
        <v>116</v>
      </c>
      <c r="F18" s="87">
        <f>F22/12</f>
        <v>17861.740000000002</v>
      </c>
      <c r="G18" s="88">
        <v>5</v>
      </c>
      <c r="H18" s="89">
        <f>F18*G18</f>
        <v>89308.700000000012</v>
      </c>
      <c r="M18" s="71"/>
      <c r="N18" s="71"/>
      <c r="O18" s="71"/>
      <c r="P18" s="71"/>
      <c r="Q18" s="71"/>
      <c r="R18" s="71"/>
      <c r="S18" s="71"/>
      <c r="T18" s="71"/>
      <c r="U18" s="71"/>
    </row>
    <row r="19" spans="2:21" s="76" customFormat="1" hidden="1">
      <c r="B19" s="77"/>
      <c r="C19" s="77"/>
      <c r="E19" s="86" t="s">
        <v>117</v>
      </c>
      <c r="F19" s="87">
        <v>-17133</v>
      </c>
      <c r="G19" s="88">
        <v>2</v>
      </c>
      <c r="H19" s="89">
        <f>+G19*F19</f>
        <v>-34266</v>
      </c>
      <c r="M19" s="71"/>
      <c r="N19" s="71"/>
      <c r="O19" s="71"/>
      <c r="P19" s="71"/>
      <c r="Q19" s="71"/>
      <c r="R19" s="71"/>
      <c r="S19" s="71"/>
      <c r="T19" s="71"/>
      <c r="U19" s="71"/>
    </row>
    <row r="20" spans="2:21" s="76" customFormat="1" ht="15.75" hidden="1">
      <c r="B20" s="77"/>
      <c r="C20" s="77"/>
      <c r="E20" s="86" t="s">
        <v>61</v>
      </c>
      <c r="F20" s="87"/>
      <c r="G20" s="90">
        <v>0.1</v>
      </c>
      <c r="H20" s="89">
        <f>+G20*H18</f>
        <v>8930.8700000000008</v>
      </c>
      <c r="M20" s="71"/>
      <c r="N20" s="71"/>
      <c r="O20" s="71"/>
      <c r="P20" s="71"/>
      <c r="Q20" s="71"/>
      <c r="R20" s="71"/>
      <c r="S20" s="71"/>
      <c r="T20" s="71"/>
      <c r="U20" s="71"/>
    </row>
    <row r="21" spans="2:21" s="76" customFormat="1" ht="15.75" hidden="1">
      <c r="B21" s="77"/>
      <c r="C21" s="77"/>
      <c r="E21" s="86" t="s">
        <v>62</v>
      </c>
      <c r="F21" s="87"/>
      <c r="G21" s="91"/>
      <c r="H21" s="89">
        <v>0</v>
      </c>
      <c r="M21" s="71"/>
      <c r="N21" s="71"/>
      <c r="O21" s="71"/>
      <c r="P21" s="71"/>
      <c r="Q21" s="71"/>
      <c r="R21" s="71"/>
      <c r="S21" s="71"/>
      <c r="T21" s="71"/>
      <c r="U21" s="71"/>
    </row>
    <row r="22" spans="2:21" s="76" customFormat="1" ht="15.75" hidden="1">
      <c r="B22" s="77"/>
      <c r="C22" s="77"/>
      <c r="E22" s="92" t="s">
        <v>63</v>
      </c>
      <c r="F22" s="93">
        <v>214340.88</v>
      </c>
      <c r="G22" s="94">
        <f>0.35/2</f>
        <v>0.17499999999999999</v>
      </c>
      <c r="H22" s="95">
        <f>+F22*G22</f>
        <v>37509.653999999995</v>
      </c>
      <c r="M22" s="71"/>
      <c r="N22" s="71"/>
      <c r="O22" s="71"/>
      <c r="P22" s="71"/>
      <c r="Q22" s="71"/>
      <c r="R22" s="71"/>
      <c r="S22" s="71"/>
      <c r="T22" s="71"/>
      <c r="U22" s="71"/>
    </row>
    <row r="23" spans="2:21" s="76" customFormat="1" hidden="1">
      <c r="B23" s="77"/>
      <c r="C23" s="77"/>
      <c r="E23" s="96" t="s">
        <v>44</v>
      </c>
      <c r="F23" s="97"/>
      <c r="G23" s="98"/>
      <c r="H23" s="99">
        <f>SUM(H16:H22)</f>
        <v>774732.58199999994</v>
      </c>
      <c r="M23" s="71"/>
      <c r="N23" s="71"/>
      <c r="O23" s="71"/>
      <c r="P23" s="71"/>
      <c r="Q23" s="71"/>
      <c r="R23" s="71"/>
      <c r="S23" s="71"/>
      <c r="T23" s="71"/>
      <c r="U23" s="71"/>
    </row>
    <row r="24" spans="2:21" s="76" customFormat="1" hidden="1">
      <c r="B24" s="77"/>
      <c r="C24" s="77"/>
      <c r="E24" s="88"/>
      <c r="F24" s="87"/>
      <c r="G24" s="88"/>
      <c r="H24" s="87"/>
      <c r="M24" s="71"/>
      <c r="N24" s="71"/>
      <c r="O24" s="71"/>
      <c r="P24" s="71"/>
      <c r="Q24" s="71"/>
      <c r="R24" s="71"/>
      <c r="S24" s="71"/>
      <c r="T24" s="71"/>
      <c r="U24" s="71"/>
    </row>
    <row r="25" spans="2:21" s="76" customFormat="1" hidden="1">
      <c r="B25" s="77"/>
      <c r="C25" s="77"/>
      <c r="E25" s="88"/>
      <c r="F25" s="79" t="s">
        <v>39</v>
      </c>
      <c r="G25" s="80" t="s">
        <v>45</v>
      </c>
      <c r="H25" s="99" t="s">
        <v>46</v>
      </c>
      <c r="M25" s="71"/>
      <c r="N25" s="71"/>
      <c r="O25" s="71"/>
      <c r="P25" s="71"/>
      <c r="Q25" s="71"/>
      <c r="R25" s="71"/>
      <c r="S25" s="71"/>
      <c r="T25" s="71"/>
      <c r="U25" s="71"/>
    </row>
    <row r="26" spans="2:21" s="76" customFormat="1" hidden="1">
      <c r="B26" s="77"/>
      <c r="C26" s="77"/>
      <c r="E26" s="82" t="s">
        <v>47</v>
      </c>
      <c r="F26" s="83">
        <f>+H23*0.97</f>
        <v>751490.60453999997</v>
      </c>
      <c r="G26" s="100">
        <v>5.0999999999999997E-2</v>
      </c>
      <c r="H26" s="85">
        <f>+F26*G26</f>
        <v>38326.020831539994</v>
      </c>
      <c r="M26" s="71"/>
      <c r="N26" s="71"/>
      <c r="O26" s="71"/>
      <c r="P26" s="71"/>
      <c r="Q26" s="71"/>
      <c r="R26" s="71"/>
      <c r="S26" s="71"/>
      <c r="T26" s="71"/>
      <c r="U26" s="71"/>
    </row>
    <row r="27" spans="2:21" s="76" customFormat="1" hidden="1">
      <c r="B27" s="77"/>
      <c r="C27" s="77"/>
      <c r="E27" s="92" t="s">
        <v>48</v>
      </c>
      <c r="F27" s="93">
        <f>H23*0.97</f>
        <v>751490.60453999997</v>
      </c>
      <c r="G27" s="101">
        <v>2.9000000000000001E-2</v>
      </c>
      <c r="H27" s="95">
        <f>+F27*G27</f>
        <v>21793.227531659999</v>
      </c>
      <c r="M27" s="71"/>
      <c r="N27" s="71"/>
      <c r="O27" s="71"/>
      <c r="P27" s="71"/>
      <c r="Q27" s="71"/>
      <c r="R27" s="71"/>
      <c r="S27" s="71"/>
      <c r="T27" s="71"/>
      <c r="U27" s="71"/>
    </row>
    <row r="28" spans="2:21" s="76" customFormat="1" hidden="1">
      <c r="B28" s="77"/>
      <c r="C28" s="77"/>
      <c r="E28" s="96" t="s">
        <v>49</v>
      </c>
      <c r="F28" s="102"/>
      <c r="G28" s="98"/>
      <c r="H28" s="99">
        <f>SUM(H26:H27)</f>
        <v>60119.248363199993</v>
      </c>
      <c r="M28" s="71"/>
      <c r="N28" s="71"/>
      <c r="O28" s="71"/>
      <c r="P28" s="71"/>
      <c r="Q28" s="71"/>
      <c r="R28" s="71"/>
      <c r="S28" s="71"/>
      <c r="T28" s="71"/>
      <c r="U28" s="71"/>
    </row>
    <row r="29" spans="2:21" s="76" customFormat="1" hidden="1">
      <c r="B29" s="77"/>
      <c r="C29" s="77"/>
      <c r="E29" s="88"/>
      <c r="F29" s="87"/>
      <c r="G29" s="88"/>
      <c r="H29" s="87"/>
      <c r="M29" s="71"/>
      <c r="N29" s="71"/>
      <c r="O29" s="71"/>
      <c r="P29" s="71"/>
      <c r="Q29" s="71"/>
      <c r="R29" s="71"/>
      <c r="S29" s="71"/>
      <c r="T29" s="71"/>
      <c r="U29" s="71"/>
    </row>
    <row r="30" spans="2:21" s="76" customFormat="1" hidden="1">
      <c r="B30" s="77"/>
      <c r="C30" s="77"/>
      <c r="E30" s="96" t="s">
        <v>50</v>
      </c>
      <c r="F30" s="102"/>
      <c r="G30" s="98"/>
      <c r="H30" s="103">
        <f>+H23-H28</f>
        <v>714613.33363679994</v>
      </c>
      <c r="M30" s="71"/>
      <c r="N30" s="71"/>
      <c r="O30" s="71"/>
      <c r="P30" s="71"/>
      <c r="Q30" s="71"/>
      <c r="R30" s="71"/>
      <c r="S30" s="71"/>
      <c r="T30" s="71"/>
      <c r="U30" s="71"/>
    </row>
    <row r="31" spans="2:21" hidden="1"/>
    <row r="32" spans="2:21" hidden="1"/>
    <row r="33" spans="3:18" hidden="1"/>
    <row r="34" spans="3:18" ht="25.5">
      <c r="F34" s="113" t="s">
        <v>57</v>
      </c>
      <c r="G34" s="114" t="s">
        <v>58</v>
      </c>
      <c r="H34" s="114" t="s">
        <v>60</v>
      </c>
      <c r="I34" s="114" t="s">
        <v>59</v>
      </c>
      <c r="J34" s="115" t="s">
        <v>50</v>
      </c>
    </row>
    <row r="35" spans="3:18">
      <c r="D35" s="119" t="s">
        <v>56</v>
      </c>
      <c r="E35" s="126" t="s">
        <v>118</v>
      </c>
      <c r="F35" s="116">
        <v>7968.53</v>
      </c>
      <c r="G35" s="105">
        <v>0</v>
      </c>
      <c r="H35" s="105">
        <v>0</v>
      </c>
      <c r="I35" s="105"/>
      <c r="J35" s="106">
        <f>+F35-G35-I35</f>
        <v>7968.53</v>
      </c>
    </row>
    <row r="36" spans="3:18">
      <c r="D36" s="120" t="s">
        <v>56</v>
      </c>
      <c r="E36" s="125" t="s">
        <v>66</v>
      </c>
      <c r="F36" s="117">
        <v>199751.47</v>
      </c>
      <c r="G36" s="108">
        <f>+F36*0.97*0.08</f>
        <v>15500.714072000001</v>
      </c>
      <c r="H36" s="108">
        <v>0</v>
      </c>
      <c r="I36" s="108"/>
      <c r="J36" s="109">
        <f>+F36-G36-I36</f>
        <v>184250.755928</v>
      </c>
    </row>
    <row r="37" spans="3:18">
      <c r="D37" s="121" t="s">
        <v>56</v>
      </c>
      <c r="E37" s="127" t="s">
        <v>67</v>
      </c>
      <c r="F37" s="118">
        <v>572628.53</v>
      </c>
      <c r="G37" s="111">
        <f>+G38-G36</f>
        <v>50234.485927999995</v>
      </c>
      <c r="H37" s="111">
        <f>+H38</f>
        <v>528620.38</v>
      </c>
      <c r="I37" s="111"/>
      <c r="J37" s="112">
        <f>+H30-J35-J36</f>
        <v>522394.04770879995</v>
      </c>
    </row>
    <row r="38" spans="3:18">
      <c r="E38" s="128" t="s">
        <v>32</v>
      </c>
      <c r="F38" s="129">
        <f>SUM(F35:F37)</f>
        <v>780348.53</v>
      </c>
      <c r="G38" s="130">
        <v>65735.199999999997</v>
      </c>
      <c r="H38" s="130">
        <v>528620.38</v>
      </c>
      <c r="I38" s="130"/>
      <c r="J38" s="131">
        <f>SUM(J35:J37)</f>
        <v>714613.33363679994</v>
      </c>
    </row>
    <row r="39" spans="3:18">
      <c r="C39" s="71"/>
      <c r="E39" s="132">
        <v>2010</v>
      </c>
      <c r="F39" s="117">
        <f>+F38-F40</f>
        <v>780348.53</v>
      </c>
      <c r="G39" s="108">
        <f>+G38</f>
        <v>65735.199999999997</v>
      </c>
      <c r="H39" s="108">
        <f>+H38-H40</f>
        <v>528620.38</v>
      </c>
      <c r="I39" s="108"/>
      <c r="J39" s="109">
        <f>+J38-J40</f>
        <v>714613.33363679994</v>
      </c>
    </row>
    <row r="40" spans="3:18">
      <c r="E40" s="133">
        <v>2011</v>
      </c>
      <c r="F40" s="227">
        <v>0</v>
      </c>
      <c r="G40" s="111">
        <v>0</v>
      </c>
      <c r="H40" s="111">
        <f>+J40</f>
        <v>0</v>
      </c>
      <c r="I40" s="111"/>
      <c r="J40" s="112">
        <f>+F40</f>
        <v>0</v>
      </c>
    </row>
    <row r="41" spans="3:18">
      <c r="G41" s="108"/>
    </row>
    <row r="44" spans="3:18">
      <c r="C44" s="72">
        <v>1.3</v>
      </c>
      <c r="D44" s="71" t="s">
        <v>114</v>
      </c>
    </row>
    <row r="45" spans="3:18" ht="25.5">
      <c r="C45" s="74"/>
      <c r="D45" s="73"/>
      <c r="E45" s="73"/>
      <c r="F45" s="113" t="s">
        <v>57</v>
      </c>
      <c r="G45" s="114" t="s">
        <v>58</v>
      </c>
      <c r="H45" s="114" t="s">
        <v>60</v>
      </c>
      <c r="I45" s="114" t="s">
        <v>59</v>
      </c>
      <c r="J45" s="115" t="s">
        <v>50</v>
      </c>
    </row>
    <row r="46" spans="3:18">
      <c r="D46" s="73"/>
      <c r="E46" s="134" t="s">
        <v>68</v>
      </c>
      <c r="F46" s="116">
        <f>+H46/(1-0.103)</f>
        <v>0</v>
      </c>
      <c r="G46" s="105">
        <f t="shared" ref="G46:G48" si="0">+F46-H46</f>
        <v>0</v>
      </c>
      <c r="H46" s="105">
        <v>0</v>
      </c>
      <c r="I46" s="105">
        <v>0</v>
      </c>
      <c r="J46" s="106">
        <f t="shared" ref="J46:J48" si="1">+F46-G46-I46</f>
        <v>0</v>
      </c>
      <c r="N46" s="104" t="s">
        <v>127</v>
      </c>
      <c r="O46" s="190">
        <v>217.77</v>
      </c>
      <c r="P46" s="183" t="s">
        <v>128</v>
      </c>
      <c r="Q46" s="183"/>
      <c r="R46" s="184"/>
    </row>
    <row r="47" spans="3:18">
      <c r="D47" s="73"/>
      <c r="E47" s="135" t="s">
        <v>69</v>
      </c>
      <c r="F47" s="117">
        <f>+H47/(1-0.103)</f>
        <v>0</v>
      </c>
      <c r="G47" s="108">
        <f t="shared" si="0"/>
        <v>0</v>
      </c>
      <c r="H47" s="108">
        <v>0</v>
      </c>
      <c r="I47" s="108">
        <v>0</v>
      </c>
      <c r="J47" s="109">
        <f t="shared" si="1"/>
        <v>0</v>
      </c>
      <c r="N47" s="107" t="s">
        <v>133</v>
      </c>
      <c r="O47" s="191">
        <v>379.39</v>
      </c>
      <c r="P47" s="147"/>
      <c r="Q47" s="147"/>
      <c r="R47" s="178" t="s">
        <v>134</v>
      </c>
    </row>
    <row r="48" spans="3:18">
      <c r="D48" s="73"/>
      <c r="E48" s="135" t="s">
        <v>70</v>
      </c>
      <c r="F48" s="117">
        <f>+H48/(1-0.103)</f>
        <v>0</v>
      </c>
      <c r="G48" s="108">
        <f t="shared" si="0"/>
        <v>0</v>
      </c>
      <c r="H48" s="108">
        <v>0</v>
      </c>
      <c r="I48" s="108">
        <v>0</v>
      </c>
      <c r="J48" s="109">
        <f t="shared" si="1"/>
        <v>0</v>
      </c>
      <c r="N48" s="107" t="s">
        <v>129</v>
      </c>
      <c r="O48" s="185">
        <v>0.03</v>
      </c>
      <c r="P48" s="147" t="s">
        <v>135</v>
      </c>
      <c r="Q48" s="147"/>
      <c r="R48" s="178">
        <f>ROUND(+O47*O48,2)</f>
        <v>11.38</v>
      </c>
    </row>
    <row r="49" spans="3:19">
      <c r="D49" s="73">
        <v>10</v>
      </c>
      <c r="E49" s="135" t="s">
        <v>71</v>
      </c>
      <c r="F49" s="117">
        <f>+D49*$O$46</f>
        <v>2177.7000000000003</v>
      </c>
      <c r="G49" s="108"/>
      <c r="H49" s="108"/>
      <c r="I49" s="108">
        <v>0</v>
      </c>
      <c r="J49" s="109">
        <f>+D49*$O$52</f>
        <v>1929.8000000000002</v>
      </c>
      <c r="N49" s="107" t="s">
        <v>136</v>
      </c>
      <c r="O49" s="147">
        <f>+O46-R48</f>
        <v>206.39000000000001</v>
      </c>
      <c r="P49" s="147"/>
      <c r="Q49" s="147"/>
      <c r="R49" s="178"/>
    </row>
    <row r="50" spans="3:19">
      <c r="D50" s="73">
        <v>31</v>
      </c>
      <c r="E50" s="135" t="s">
        <v>72</v>
      </c>
      <c r="F50" s="117">
        <f>+D50*$O$46</f>
        <v>6750.87</v>
      </c>
      <c r="G50" s="108"/>
      <c r="H50" s="108"/>
      <c r="I50" s="108">
        <v>0</v>
      </c>
      <c r="J50" s="109">
        <f>+D50*$O$52</f>
        <v>5982.380000000001</v>
      </c>
      <c r="N50" s="107" t="s">
        <v>131</v>
      </c>
      <c r="O50" s="186">
        <v>6.2E-2</v>
      </c>
      <c r="P50" s="185">
        <v>0.97</v>
      </c>
      <c r="Q50" s="193" t="s">
        <v>130</v>
      </c>
      <c r="R50" s="178">
        <f>++ROUND(P50*O50*$O$49,2)</f>
        <v>12.41</v>
      </c>
      <c r="S50" s="182"/>
    </row>
    <row r="51" spans="3:19">
      <c r="D51" s="73">
        <v>30</v>
      </c>
      <c r="E51" s="135" t="s">
        <v>73</v>
      </c>
      <c r="F51" s="117">
        <f>+D51*$O$46</f>
        <v>6533.1</v>
      </c>
      <c r="G51" s="108"/>
      <c r="H51" s="108"/>
      <c r="I51" s="108">
        <v>0</v>
      </c>
      <c r="J51" s="109">
        <f>+D51*$O$52</f>
        <v>5789.4000000000005</v>
      </c>
      <c r="N51" s="110" t="s">
        <v>132</v>
      </c>
      <c r="O51" s="187">
        <v>5.0000000000000001E-3</v>
      </c>
      <c r="P51" s="188">
        <v>0.97</v>
      </c>
      <c r="Q51" s="194" t="s">
        <v>130</v>
      </c>
      <c r="R51" s="189">
        <f>ROUND(+P51*O51*$O$49,2)</f>
        <v>1</v>
      </c>
    </row>
    <row r="52" spans="3:19">
      <c r="D52" s="73">
        <v>0</v>
      </c>
      <c r="E52" s="136" t="s">
        <v>74</v>
      </c>
      <c r="F52" s="117">
        <f>+D52*$O$46</f>
        <v>0</v>
      </c>
      <c r="G52" s="108"/>
      <c r="H52" s="108"/>
      <c r="I52" s="108">
        <v>0</v>
      </c>
      <c r="J52" s="109">
        <f>+D52*$O$52</f>
        <v>0</v>
      </c>
      <c r="N52" s="110" t="s">
        <v>137</v>
      </c>
      <c r="O52" s="180">
        <f>+O49-R50-R51</f>
        <v>192.98000000000002</v>
      </c>
    </row>
    <row r="53" spans="3:19">
      <c r="D53" s="73"/>
      <c r="E53" s="110" t="s">
        <v>32</v>
      </c>
      <c r="F53" s="129">
        <f>SUM(F46:F52)</f>
        <v>15461.67</v>
      </c>
      <c r="G53" s="130">
        <f>SUM(G46:G52)</f>
        <v>0</v>
      </c>
      <c r="H53" s="130">
        <v>14113.38</v>
      </c>
      <c r="I53" s="130">
        <f>SUM(I46:I52)</f>
        <v>0</v>
      </c>
      <c r="J53" s="131">
        <f>SUM(J46:J52)</f>
        <v>13701.580000000002</v>
      </c>
    </row>
    <row r="54" spans="3:19" ht="25.5">
      <c r="D54" s="73"/>
      <c r="E54" s="137"/>
      <c r="H54" s="75"/>
      <c r="N54" s="219" t="s">
        <v>145</v>
      </c>
      <c r="O54" s="220"/>
    </row>
    <row r="55" spans="3:19" ht="25.5">
      <c r="E55" s="192" t="s">
        <v>138</v>
      </c>
      <c r="I55" s="75"/>
      <c r="O55" s="158" t="s">
        <v>153</v>
      </c>
      <c r="P55" s="115" t="s">
        <v>154</v>
      </c>
    </row>
    <row r="56" spans="3:19">
      <c r="N56" s="104" t="s">
        <v>142</v>
      </c>
      <c r="O56" s="224">
        <f>+H63</f>
        <v>600997.22</v>
      </c>
      <c r="P56" s="173">
        <v>500996</v>
      </c>
    </row>
    <row r="57" spans="3:19">
      <c r="C57" s="72">
        <v>1.4</v>
      </c>
      <c r="D57" s="71" t="s">
        <v>115</v>
      </c>
      <c r="N57" s="107" t="s">
        <v>146</v>
      </c>
      <c r="O57" s="222">
        <v>-14157</v>
      </c>
      <c r="P57" s="175">
        <v>-14157</v>
      </c>
    </row>
    <row r="58" spans="3:19" ht="25.5">
      <c r="F58" s="113" t="s">
        <v>57</v>
      </c>
      <c r="G58" s="114" t="s">
        <v>58</v>
      </c>
      <c r="H58" s="114" t="s">
        <v>60</v>
      </c>
      <c r="I58" s="114" t="s">
        <v>59</v>
      </c>
      <c r="J58" s="115" t="s">
        <v>50</v>
      </c>
      <c r="N58" s="225" t="s">
        <v>155</v>
      </c>
      <c r="O58" s="223">
        <v>3532</v>
      </c>
      <c r="P58" s="226">
        <v>3532</v>
      </c>
    </row>
    <row r="59" spans="3:19">
      <c r="E59" s="104" t="s">
        <v>65</v>
      </c>
      <c r="F59" s="116">
        <f>+F10</f>
        <v>68633.05</v>
      </c>
      <c r="G59" s="105">
        <f>+G10</f>
        <v>14004.76</v>
      </c>
      <c r="H59" s="105">
        <f>+H10</f>
        <v>58263.460000000006</v>
      </c>
      <c r="I59" s="105">
        <f>+I10</f>
        <v>2378.5300000000002</v>
      </c>
      <c r="J59" s="106">
        <f>+J10</f>
        <v>54299.009999999995</v>
      </c>
      <c r="N59" s="107" t="s">
        <v>147</v>
      </c>
      <c r="O59" s="222">
        <v>-418</v>
      </c>
      <c r="P59" s="175">
        <v>-418</v>
      </c>
    </row>
    <row r="60" spans="3:19">
      <c r="E60" s="140" t="s">
        <v>114</v>
      </c>
      <c r="F60" s="141">
        <f>+F53</f>
        <v>15461.67</v>
      </c>
      <c r="G60" s="142">
        <f>+G53</f>
        <v>0</v>
      </c>
      <c r="H60" s="142">
        <f>+H53</f>
        <v>14113.38</v>
      </c>
      <c r="I60" s="142">
        <f>+I53</f>
        <v>0</v>
      </c>
      <c r="J60" s="143">
        <f>+J53</f>
        <v>13701.580000000002</v>
      </c>
      <c r="N60" s="225" t="s">
        <v>156</v>
      </c>
      <c r="O60" s="223">
        <v>-40000</v>
      </c>
      <c r="P60" s="226">
        <v>-6759</v>
      </c>
    </row>
    <row r="61" spans="3:19">
      <c r="E61" s="110" t="s">
        <v>76</v>
      </c>
      <c r="F61" s="118">
        <f>+F59+F60</f>
        <v>84094.720000000001</v>
      </c>
      <c r="G61" s="111">
        <f>+G59+G60</f>
        <v>14004.76</v>
      </c>
      <c r="H61" s="111">
        <f>+H59+H60</f>
        <v>72376.840000000011</v>
      </c>
      <c r="I61" s="111">
        <f>+I59+I60</f>
        <v>2378.5300000000002</v>
      </c>
      <c r="J61" s="112">
        <f>+J59+J60</f>
        <v>68000.59</v>
      </c>
      <c r="N61" s="107" t="s">
        <v>157</v>
      </c>
      <c r="O61" s="175">
        <f>+O56+O57+O59+O58+O60</f>
        <v>549954.22</v>
      </c>
      <c r="P61" s="175">
        <f>+P56+P57+P59+P58+P60</f>
        <v>483194</v>
      </c>
    </row>
    <row r="62" spans="3:19">
      <c r="E62" s="139" t="s">
        <v>77</v>
      </c>
      <c r="F62" s="118">
        <f>+F39</f>
        <v>780348.53</v>
      </c>
      <c r="G62" s="111">
        <f>+G39</f>
        <v>65735.199999999997</v>
      </c>
      <c r="H62" s="111">
        <f>+H39</f>
        <v>528620.38</v>
      </c>
      <c r="I62" s="111">
        <f>+I39</f>
        <v>0</v>
      </c>
      <c r="J62" s="112">
        <f>+J39</f>
        <v>714613.33363679994</v>
      </c>
      <c r="N62" s="107" t="s">
        <v>148</v>
      </c>
      <c r="O62" s="222">
        <f>-H62-O57*H62/H63</f>
        <v>-516168.27794258948</v>
      </c>
      <c r="P62" s="174">
        <f>+O62</f>
        <v>-516168.27794258948</v>
      </c>
      <c r="R62" s="75"/>
    </row>
    <row r="63" spans="3:19">
      <c r="E63" s="139" t="s">
        <v>32</v>
      </c>
      <c r="F63" s="130">
        <f>+F62+F61</f>
        <v>864443.25</v>
      </c>
      <c r="G63" s="130">
        <f>+G62+G61</f>
        <v>79739.959999999992</v>
      </c>
      <c r="H63" s="130">
        <f>+H62+H61</f>
        <v>600997.22</v>
      </c>
      <c r="I63" s="130">
        <f>+I62+I61</f>
        <v>2378.5300000000002</v>
      </c>
      <c r="J63" s="131">
        <f>+J62+J61</f>
        <v>782613.92363679991</v>
      </c>
      <c r="N63" s="107" t="s">
        <v>143</v>
      </c>
      <c r="O63" s="222">
        <f>+O61+O62</f>
        <v>33785.942057410488</v>
      </c>
      <c r="P63" s="175">
        <f>+P61+P62</f>
        <v>-32974.277942589484</v>
      </c>
      <c r="R63" s="75"/>
    </row>
    <row r="64" spans="3:19">
      <c r="J64" s="75"/>
      <c r="N64" s="107" t="s">
        <v>120</v>
      </c>
      <c r="O64" s="222">
        <f>-O62/4</f>
        <v>129042.06948564737</v>
      </c>
      <c r="P64" s="175">
        <f>-P62/4</f>
        <v>129042.06948564737</v>
      </c>
      <c r="Q64" s="75"/>
    </row>
    <row r="65" spans="2:17">
      <c r="N65" s="107" t="s">
        <v>144</v>
      </c>
      <c r="O65" s="222">
        <f>+O63+O64</f>
        <v>162828.01154305786</v>
      </c>
      <c r="P65" s="175">
        <f>+P63+P64</f>
        <v>96067.791543057887</v>
      </c>
    </row>
    <row r="66" spans="2:17">
      <c r="E66" s="137"/>
      <c r="N66" s="138" t="s">
        <v>50</v>
      </c>
      <c r="O66" s="167">
        <f>+Q80</f>
        <v>121161.83883061488</v>
      </c>
      <c r="P66" s="221">
        <v>123956</v>
      </c>
      <c r="Q66" s="166"/>
    </row>
    <row r="69" spans="2:17">
      <c r="B69" s="72" t="s">
        <v>119</v>
      </c>
    </row>
    <row r="71" spans="2:17" ht="25.5">
      <c r="F71" s="158" t="s">
        <v>78</v>
      </c>
      <c r="G71" s="115" t="s">
        <v>120</v>
      </c>
      <c r="N71" s="161" t="s">
        <v>121</v>
      </c>
      <c r="O71" s="158" t="s">
        <v>81</v>
      </c>
      <c r="P71" s="115" t="s">
        <v>82</v>
      </c>
    </row>
    <row r="72" spans="2:17">
      <c r="E72" s="134" t="s">
        <v>79</v>
      </c>
      <c r="F72" s="159"/>
      <c r="G72" s="149">
        <f>+F61</f>
        <v>84094.720000000001</v>
      </c>
      <c r="N72" s="134" t="s">
        <v>79</v>
      </c>
      <c r="O72" s="159">
        <f>+F61</f>
        <v>84094.720000000001</v>
      </c>
      <c r="P72" s="149"/>
    </row>
    <row r="73" spans="2:17">
      <c r="E73" s="144" t="s">
        <v>80</v>
      </c>
      <c r="F73" s="160"/>
      <c r="G73" s="150">
        <f>+F62</f>
        <v>780348.53</v>
      </c>
      <c r="N73" s="144" t="s">
        <v>80</v>
      </c>
      <c r="O73" s="160">
        <v>0</v>
      </c>
      <c r="P73" s="150"/>
    </row>
    <row r="74" spans="2:17">
      <c r="E74" s="145" t="s">
        <v>0</v>
      </c>
      <c r="F74" s="153">
        <f>+F63</f>
        <v>864443.25</v>
      </c>
      <c r="G74" s="151">
        <f>SUM(G72:G73)</f>
        <v>864443.25</v>
      </c>
      <c r="N74" s="145" t="s">
        <v>0</v>
      </c>
      <c r="O74" s="153">
        <f>SUM(O72:O73)</f>
        <v>84094.720000000001</v>
      </c>
      <c r="P74" s="151"/>
    </row>
    <row r="75" spans="2:17">
      <c r="E75" s="134" t="s">
        <v>58</v>
      </c>
      <c r="F75" s="159">
        <f>+G63</f>
        <v>79739.959999999992</v>
      </c>
      <c r="G75" s="149">
        <f>+G63</f>
        <v>79739.959999999992</v>
      </c>
      <c r="N75" s="134" t="s">
        <v>58</v>
      </c>
      <c r="O75" s="159">
        <f>+G61</f>
        <v>14004.76</v>
      </c>
      <c r="P75" s="149"/>
    </row>
    <row r="76" spans="2:17">
      <c r="E76" s="145" t="s">
        <v>33</v>
      </c>
      <c r="F76" s="153">
        <f>+H63</f>
        <v>600997.22</v>
      </c>
      <c r="G76" s="151">
        <f>+H63</f>
        <v>600997.22</v>
      </c>
      <c r="N76" s="145" t="s">
        <v>33</v>
      </c>
      <c r="O76" s="153">
        <f>+H61</f>
        <v>72376.840000000011</v>
      </c>
      <c r="P76" s="151">
        <f>+H61+H62/4</f>
        <v>204531.935</v>
      </c>
    </row>
    <row r="77" spans="2:17">
      <c r="E77" s="144" t="s">
        <v>3</v>
      </c>
      <c r="F77" s="160">
        <f>+IF(F76*0.1&gt;$O$85,$O$85,F76*0.1)</f>
        <v>14157</v>
      </c>
      <c r="G77" s="150">
        <f>+IF(G76*0.1&gt;$O$85,$O$85,G76*0.1)</f>
        <v>14157</v>
      </c>
      <c r="N77" s="144" t="s">
        <v>3</v>
      </c>
      <c r="O77" s="160">
        <f>+IF(O76*0.1&gt;$O$85,$O$85,O76*0.1)</f>
        <v>7237.6840000000011</v>
      </c>
      <c r="P77" s="150">
        <f>+IF(P76*0.1&gt;$O$85,$O$85,P76*0.1)</f>
        <v>14157</v>
      </c>
    </row>
    <row r="78" spans="2:17">
      <c r="E78" s="144" t="s">
        <v>4</v>
      </c>
      <c r="F78" s="160">
        <f>+F76-F77-418</f>
        <v>586422.22</v>
      </c>
      <c r="G78" s="150">
        <f>+G76-G77</f>
        <v>586840.22</v>
      </c>
      <c r="N78" s="144" t="s">
        <v>4</v>
      </c>
      <c r="O78" s="160">
        <f>+O63</f>
        <v>33785.942057410488</v>
      </c>
      <c r="P78" s="150">
        <f>+O65</f>
        <v>162828.01154305786</v>
      </c>
    </row>
    <row r="79" spans="2:17">
      <c r="E79" s="86" t="s">
        <v>2</v>
      </c>
      <c r="F79" s="152">
        <f>+F80/F78</f>
        <v>0.34850974814699209</v>
      </c>
      <c r="G79" s="156">
        <f>+G80/G78</f>
        <v>0.20646478326010936</v>
      </c>
      <c r="N79" s="86" t="s">
        <v>2</v>
      </c>
      <c r="O79" s="152">
        <f>+O80/O78</f>
        <v>1.6171421210383622E-2</v>
      </c>
      <c r="P79" s="156">
        <f>+P80/P78</f>
        <v>0.18854393934876137</v>
      </c>
    </row>
    <row r="80" spans="2:17">
      <c r="E80" s="146" t="s">
        <v>122</v>
      </c>
      <c r="F80" s="153">
        <f>+Direct!K31</f>
        <v>204373.8602</v>
      </c>
      <c r="G80" s="151">
        <f>+(P80-O80)*4+O80</f>
        <v>121161.83883061488</v>
      </c>
      <c r="N80" s="146" t="s">
        <v>122</v>
      </c>
      <c r="O80" s="153">
        <f>+Ord!K31</f>
        <v>546.36670000000004</v>
      </c>
      <c r="P80" s="151">
        <f>+Extr!K31</f>
        <v>30700.23473265372</v>
      </c>
      <c r="Q80" s="218">
        <f>+(P80-O80)*4+O80</f>
        <v>121161.83883061488</v>
      </c>
    </row>
    <row r="81" spans="4:16">
      <c r="E81" s="162" t="s">
        <v>1</v>
      </c>
      <c r="F81" s="163">
        <f>+F74-F75-F80</f>
        <v>580329.42980000004</v>
      </c>
      <c r="G81" s="164">
        <f>+G74-G75-G80</f>
        <v>663541.45116938511</v>
      </c>
      <c r="N81" s="96" t="s">
        <v>1</v>
      </c>
      <c r="O81" s="154">
        <f>+O74-O75-O80</f>
        <v>69543.593300000008</v>
      </c>
      <c r="P81" s="157"/>
    </row>
    <row r="82" spans="4:16">
      <c r="E82" s="147"/>
      <c r="F82" s="147"/>
      <c r="G82" s="147"/>
    </row>
    <row r="83" spans="4:16">
      <c r="E83" s="96" t="s">
        <v>35</v>
      </c>
      <c r="F83" s="148">
        <f>++(F74-F81)/F74</f>
        <v>0.32866682711675976</v>
      </c>
      <c r="G83" s="155">
        <f>++(G74-G81)/G74</f>
        <v>0.23240600100771786</v>
      </c>
      <c r="N83" s="96" t="s">
        <v>35</v>
      </c>
      <c r="O83" s="148">
        <f>++(O74-O81)/O74</f>
        <v>0.17303258397197818</v>
      </c>
      <c r="P83" s="155"/>
    </row>
    <row r="84" spans="4:16">
      <c r="E84" s="181" t="s">
        <v>126</v>
      </c>
      <c r="F84" s="155">
        <f>+F80/(F74-F75)</f>
        <v>0.26044730894399587</v>
      </c>
      <c r="G84" s="199">
        <f>+G80/(G74-G75)</f>
        <v>0.15440465252874735</v>
      </c>
      <c r="H84" s="71" t="s">
        <v>140</v>
      </c>
    </row>
    <row r="85" spans="4:16">
      <c r="N85" s="138" t="s">
        <v>34</v>
      </c>
      <c r="O85" s="154">
        <v>14157</v>
      </c>
    </row>
    <row r="86" spans="4:16">
      <c r="E86" s="71" t="s">
        <v>123</v>
      </c>
      <c r="F86" s="154">
        <v>541296.25114208006</v>
      </c>
      <c r="G86" s="157">
        <v>564230.42494208005</v>
      </c>
    </row>
    <row r="88" spans="4:16">
      <c r="E88" s="71" t="s">
        <v>83</v>
      </c>
      <c r="F88" s="154">
        <f>+F81-F86</f>
        <v>39033.178657919983</v>
      </c>
      <c r="G88" s="157">
        <f>+G81-G86</f>
        <v>99311.026227305061</v>
      </c>
    </row>
    <row r="90" spans="4:16">
      <c r="D90" s="72"/>
      <c r="E90" s="72"/>
      <c r="F90" s="72"/>
      <c r="G90" s="72"/>
      <c r="H90" s="72"/>
      <c r="I90" s="72"/>
      <c r="J90" s="72"/>
      <c r="K90" s="72"/>
      <c r="N90" s="71" t="s">
        <v>150</v>
      </c>
    </row>
    <row r="91" spans="4:16">
      <c r="D91" s="72"/>
      <c r="E91" s="72"/>
      <c r="F91" s="72"/>
      <c r="G91" s="72"/>
      <c r="H91" s="72"/>
      <c r="I91" s="72"/>
      <c r="J91" s="72"/>
      <c r="K91" s="72"/>
      <c r="N91" s="71" t="s">
        <v>151</v>
      </c>
    </row>
    <row r="92" spans="4:16">
      <c r="D92" s="72"/>
      <c r="E92" s="72"/>
      <c r="F92" s="72"/>
      <c r="G92" s="72"/>
      <c r="H92" s="72"/>
      <c r="I92" s="72"/>
      <c r="J92" s="72"/>
      <c r="K92" s="72"/>
      <c r="N92" s="71" t="s">
        <v>152</v>
      </c>
    </row>
    <row r="93" spans="4:16">
      <c r="D93" s="72"/>
      <c r="E93" s="72"/>
      <c r="F93" s="72"/>
      <c r="G93" s="72"/>
      <c r="H93" s="72"/>
      <c r="I93" s="72"/>
      <c r="J93" s="72"/>
      <c r="K93" s="72"/>
    </row>
    <row r="94" spans="4:16">
      <c r="D94" s="72"/>
      <c r="E94" s="72"/>
      <c r="F94" s="72"/>
      <c r="G94" s="72"/>
      <c r="H94" s="72"/>
      <c r="I94" s="72"/>
      <c r="J94" s="72"/>
      <c r="K94" s="72"/>
    </row>
    <row r="95" spans="4:16">
      <c r="D95" s="72"/>
      <c r="E95" s="72"/>
      <c r="F95" s="72"/>
      <c r="G95" s="72"/>
      <c r="H95" s="72"/>
      <c r="I95" s="72"/>
      <c r="J95" s="72"/>
      <c r="K95" s="72"/>
    </row>
    <row r="96" spans="4:16">
      <c r="D96" s="72"/>
      <c r="E96" s="72"/>
      <c r="F96" s="233" t="s">
        <v>163</v>
      </c>
      <c r="G96" s="233"/>
      <c r="H96" s="233"/>
      <c r="M96" s="72" t="s">
        <v>158</v>
      </c>
      <c r="O96" s="71" t="s">
        <v>161</v>
      </c>
    </row>
    <row r="97" spans="5:15">
      <c r="F97" s="228">
        <v>2010</v>
      </c>
      <c r="G97" s="169">
        <v>2011</v>
      </c>
      <c r="H97" s="230" t="s">
        <v>32</v>
      </c>
      <c r="M97" s="165">
        <v>2010</v>
      </c>
    </row>
    <row r="98" spans="5:15">
      <c r="E98" s="134" t="s">
        <v>162</v>
      </c>
      <c r="F98" s="172">
        <v>81597.792460719691</v>
      </c>
      <c r="G98" s="172">
        <v>28297.207000000002</v>
      </c>
      <c r="H98" s="224">
        <v>109894.9994607197</v>
      </c>
      <c r="M98" s="166">
        <f>+O98-F98</f>
        <v>21118</v>
      </c>
      <c r="O98" s="166">
        <v>102715.79246071969</v>
      </c>
    </row>
    <row r="99" spans="5:15">
      <c r="E99" s="229" t="s">
        <v>165</v>
      </c>
      <c r="F99" s="176">
        <f>+G80</f>
        <v>121161.83883061488</v>
      </c>
      <c r="G99" s="176">
        <f>+'2011'!F85</f>
        <v>3518.6502</v>
      </c>
      <c r="H99" s="231">
        <f>+G99+F99</f>
        <v>124680.48903061489</v>
      </c>
      <c r="M99" s="166">
        <v>0</v>
      </c>
      <c r="O99" s="166">
        <v>102715.79246071969</v>
      </c>
    </row>
    <row r="100" spans="5:15">
      <c r="E100" s="139" t="s">
        <v>159</v>
      </c>
      <c r="F100" s="232">
        <f>+F98-F99</f>
        <v>-39564.046369895193</v>
      </c>
      <c r="G100" s="232">
        <f t="shared" ref="G100:H100" si="2">+G98-G99</f>
        <v>24778.556800000002</v>
      </c>
      <c r="H100" s="167">
        <f t="shared" si="2"/>
        <v>-14785.489569895188</v>
      </c>
    </row>
    <row r="102" spans="5:15">
      <c r="F102" s="233" t="s">
        <v>160</v>
      </c>
      <c r="G102" s="233"/>
      <c r="H102" s="233"/>
    </row>
    <row r="103" spans="5:15">
      <c r="F103" s="228">
        <v>2010</v>
      </c>
      <c r="G103" s="169">
        <v>2011</v>
      </c>
      <c r="H103" s="230" t="s">
        <v>32</v>
      </c>
    </row>
    <row r="104" spans="5:15">
      <c r="E104" s="134" t="s">
        <v>162</v>
      </c>
      <c r="F104" s="172">
        <v>0</v>
      </c>
      <c r="G104" s="172">
        <f>+G98-M98</f>
        <v>7179.2070000000022</v>
      </c>
      <c r="H104" s="224">
        <f>+G104+F104</f>
        <v>7179.2070000000022</v>
      </c>
    </row>
    <row r="105" spans="5:15">
      <c r="E105" s="229" t="s">
        <v>165</v>
      </c>
      <c r="F105" s="176">
        <f>+F99-O99</f>
        <v>18446.046369895193</v>
      </c>
      <c r="G105" s="176">
        <f>+G99-M99</f>
        <v>3518.6502</v>
      </c>
      <c r="H105" s="231">
        <f>+G105+F105</f>
        <v>21964.696569895194</v>
      </c>
    </row>
    <row r="106" spans="5:15">
      <c r="E106" s="139" t="s">
        <v>159</v>
      </c>
      <c r="F106" s="232">
        <f t="shared" ref="F106" si="3">+F104-F105</f>
        <v>-18446.046369895193</v>
      </c>
      <c r="G106" s="232">
        <f t="shared" ref="G106:H106" si="4">+G104-G105</f>
        <v>3660.5568000000021</v>
      </c>
      <c r="H106" s="167">
        <f t="shared" si="4"/>
        <v>-14785.489569895191</v>
      </c>
    </row>
    <row r="108" spans="5:15">
      <c r="F108" s="233" t="s">
        <v>164</v>
      </c>
      <c r="G108" s="233"/>
      <c r="H108" s="233" t="s">
        <v>25</v>
      </c>
    </row>
    <row r="109" spans="5:15">
      <c r="F109" s="228">
        <v>2010</v>
      </c>
      <c r="G109" s="171">
        <v>2011</v>
      </c>
      <c r="H109" s="233"/>
    </row>
    <row r="110" spans="5:15">
      <c r="E110" s="134" t="s">
        <v>162</v>
      </c>
      <c r="F110" s="234">
        <v>21118</v>
      </c>
      <c r="G110" s="173">
        <v>0</v>
      </c>
      <c r="H110" s="233"/>
    </row>
    <row r="111" spans="5:15">
      <c r="E111" s="229" t="s">
        <v>165</v>
      </c>
      <c r="F111" s="235">
        <v>0</v>
      </c>
      <c r="G111" s="177">
        <v>0</v>
      </c>
      <c r="H111" s="233"/>
    </row>
    <row r="112" spans="5:15">
      <c r="E112" s="139" t="s">
        <v>159</v>
      </c>
      <c r="F112" s="236">
        <f t="shared" ref="F112" si="5">+F110-F111</f>
        <v>21118</v>
      </c>
      <c r="G112" s="221">
        <f t="shared" ref="G112" si="6">+G110-G111</f>
        <v>0</v>
      </c>
      <c r="H112" s="233"/>
    </row>
    <row r="113" spans="8:8">
      <c r="H113" s="233"/>
    </row>
  </sheetData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3:Q43"/>
  <sheetViews>
    <sheetView showGridLines="0" workbookViewId="0">
      <selection activeCell="D25" sqref="D25"/>
    </sheetView>
  </sheetViews>
  <sheetFormatPr baseColWidth="10" defaultRowHeight="12.75"/>
  <sheetData>
    <row r="3" spans="2:17">
      <c r="B3" s="26" t="s">
        <v>10</v>
      </c>
      <c r="C3" s="27">
        <f>+'2010'!F78</f>
        <v>586422.22</v>
      </c>
    </row>
    <row r="4" spans="2:17">
      <c r="B4" t="s">
        <v>27</v>
      </c>
      <c r="C4" s="1">
        <f>+M21</f>
        <v>213717.8602</v>
      </c>
    </row>
    <row r="5" spans="2:17">
      <c r="B5" t="s">
        <v>28</v>
      </c>
      <c r="C5" s="1">
        <f>+M13</f>
        <v>187002.6102</v>
      </c>
    </row>
    <row r="7" spans="2:17">
      <c r="B7" s="13" t="s">
        <v>14</v>
      </c>
      <c r="C7" s="14">
        <v>4</v>
      </c>
      <c r="D7" s="11" t="s">
        <v>5</v>
      </c>
      <c r="E7" s="12"/>
      <c r="F7" s="12"/>
      <c r="G7" s="12" t="s">
        <v>6</v>
      </c>
      <c r="H7" s="12"/>
      <c r="I7" s="12" t="s">
        <v>11</v>
      </c>
      <c r="J7" s="12" t="s">
        <v>13</v>
      </c>
      <c r="K7" s="12" t="s">
        <v>12</v>
      </c>
      <c r="L7" s="12" t="s">
        <v>9</v>
      </c>
      <c r="M7" s="24" t="s">
        <v>8</v>
      </c>
      <c r="O7" s="37" t="s">
        <v>24</v>
      </c>
    </row>
    <row r="8" spans="2:17">
      <c r="D8" s="3">
        <f>+Prinicpios!D8</f>
        <v>0</v>
      </c>
      <c r="E8" s="4">
        <f>+Prinicpios!E8</f>
        <v>23852</v>
      </c>
      <c r="F8" s="5"/>
      <c r="G8" s="6">
        <f>+Prinicpios!G8</f>
        <v>0</v>
      </c>
      <c r="H8" s="5"/>
      <c r="I8" s="4">
        <f>+(E8-D8)*G8</f>
        <v>0</v>
      </c>
      <c r="J8" s="4">
        <f>+I8</f>
        <v>0</v>
      </c>
      <c r="K8" s="5">
        <f>+IF($C$3&lt;=E8,IF($C$3&gt;D8,1,0),0)</f>
        <v>0</v>
      </c>
      <c r="L8" s="4">
        <f>ROUND(+IF(C$3&gt;E8,0,IF((C$3-D8)&lt;0,0,(C$3-D8))),2)</f>
        <v>0</v>
      </c>
      <c r="M8" s="29">
        <v>0</v>
      </c>
      <c r="N8" s="36">
        <f>+IF(Q8=I8,I8,N$13-Q$13)</f>
        <v>0</v>
      </c>
      <c r="O8" s="48">
        <f>+IF(L8&lt;&gt;0,L8/N8,G8)</f>
        <v>0</v>
      </c>
      <c r="Q8">
        <f>+IF(L8=0,I8,0)</f>
        <v>0</v>
      </c>
    </row>
    <row r="9" spans="2:17">
      <c r="D9" s="3">
        <f>+Prinicpios!D9</f>
        <v>23852</v>
      </c>
      <c r="E9" s="4">
        <f>+Prinicpios!E9</f>
        <v>47584</v>
      </c>
      <c r="F9" s="5"/>
      <c r="G9" s="6">
        <f>+Prinicpios!G9</f>
        <v>5.5E-2</v>
      </c>
      <c r="H9" s="5"/>
      <c r="I9" s="4">
        <f>+(E9-D9)*G9</f>
        <v>1305.26</v>
      </c>
      <c r="J9" s="4">
        <f>+J8+I9</f>
        <v>1305.26</v>
      </c>
      <c r="K9" s="5">
        <f>+IF($C$3&lt;=E9,IF($C$3&gt;D9,1,0),0)</f>
        <v>0</v>
      </c>
      <c r="L9" s="4">
        <f>ROUND(+IF(C$3&gt;E9,0,IF((C$3-D9)&lt;0,0,(C$3-D9))),2)</f>
        <v>0</v>
      </c>
      <c r="M9" s="30">
        <f>+K9*J8+L9*G9</f>
        <v>0</v>
      </c>
      <c r="N9" s="36">
        <f>+IF(Q9=I9,I9,N$13-Q$13)</f>
        <v>1305.26</v>
      </c>
      <c r="O9" s="48">
        <f>+IF(L9&lt;&gt;0,L9/N9,G9)</f>
        <v>5.5E-2</v>
      </c>
      <c r="Q9">
        <f>+IF(L9=0,I9,0)</f>
        <v>1305.26</v>
      </c>
    </row>
    <row r="10" spans="2:17">
      <c r="D10" s="3">
        <f>+Prinicpios!D10</f>
        <v>47584</v>
      </c>
      <c r="E10" s="4">
        <f>+Prinicpios!E10</f>
        <v>105680</v>
      </c>
      <c r="F10" s="5"/>
      <c r="G10" s="6">
        <f>+Prinicpios!G10</f>
        <v>0.14000000000000001</v>
      </c>
      <c r="H10" s="5"/>
      <c r="I10" s="4">
        <f>+(E10-D10)*G10</f>
        <v>8133.4400000000005</v>
      </c>
      <c r="J10" s="4">
        <f>+J9+I10</f>
        <v>9438.7000000000007</v>
      </c>
      <c r="K10" s="5">
        <f>+IF($C$3&lt;=E10,IF($C$3&gt;D10,1,0),0)</f>
        <v>0</v>
      </c>
      <c r="L10" s="4">
        <f>ROUND(+IF(C$3&gt;E10,0,IF((C$3-D10)&lt;0,0,(C$3-D10))),2)</f>
        <v>0</v>
      </c>
      <c r="M10" s="30">
        <f>+K10*J9+L10*G10</f>
        <v>0</v>
      </c>
      <c r="N10" s="36">
        <f>+IF(Q10=I10,I10,N$13-Q$13)</f>
        <v>8133.4400000000005</v>
      </c>
      <c r="O10" s="48">
        <f>+IF(L10&lt;&gt;0,L10/N10,G10)</f>
        <v>0.14000000000000001</v>
      </c>
      <c r="Q10">
        <f>+IF(L10=0,I10,0)</f>
        <v>8133.4400000000005</v>
      </c>
    </row>
    <row r="11" spans="2:17">
      <c r="D11" s="3">
        <f>+Prinicpios!D11</f>
        <v>105680</v>
      </c>
      <c r="E11" s="4">
        <f>+Prinicpios!E11</f>
        <v>283320</v>
      </c>
      <c r="F11" s="5"/>
      <c r="G11" s="6">
        <f>+Prinicpios!G11</f>
        <v>0.3</v>
      </c>
      <c r="H11" s="5"/>
      <c r="I11" s="4">
        <f>+(E11-D11)*G11</f>
        <v>53292</v>
      </c>
      <c r="J11" s="4">
        <f>+J10+I11</f>
        <v>62730.7</v>
      </c>
      <c r="K11" s="5">
        <f>+IF($C$3&lt;=E11,IF($C$3&gt;D11,1,0),0)</f>
        <v>0</v>
      </c>
      <c r="L11" s="4">
        <f>ROUND(+IF(C$3&gt;E11,0,IF((C$3-D11)&lt;0,0,(C$3-D11))),2)</f>
        <v>0</v>
      </c>
      <c r="M11" s="30">
        <f>+K11*J10+L11*G11</f>
        <v>0</v>
      </c>
      <c r="N11" s="36">
        <f>+IF(Q11=I11,I11,N$13-Q$13)</f>
        <v>53292</v>
      </c>
      <c r="O11" s="48">
        <f>+IF(L11&lt;&gt;0,N11/L11,G11)</f>
        <v>0.3</v>
      </c>
      <c r="Q11">
        <f>+IF(L11=0,I11,0)</f>
        <v>53292</v>
      </c>
    </row>
    <row r="12" spans="2:17">
      <c r="D12" s="7">
        <f>+Prinicpios!D12</f>
        <v>283320</v>
      </c>
      <c r="E12" s="8">
        <f>+Prinicpios!E12</f>
        <v>10000000</v>
      </c>
      <c r="F12" s="9"/>
      <c r="G12" s="10">
        <f>+Prinicpios!G12</f>
        <v>0.41</v>
      </c>
      <c r="H12" s="9"/>
      <c r="I12" s="8"/>
      <c r="J12" s="8"/>
      <c r="K12" s="9">
        <f>+IF($C$3&lt;=E12,IF($C$3&gt;D12,1,0),0)</f>
        <v>1</v>
      </c>
      <c r="L12" s="8">
        <f>ROUND(+IF(C$3&gt;E12,0,IF((C$3-D12)&lt;0,0,(C$3-D12))),2)</f>
        <v>303102.21999999997</v>
      </c>
      <c r="M12" s="31">
        <f>+K12*J11+L12*G12</f>
        <v>187002.6102</v>
      </c>
      <c r="N12" s="36">
        <f>+IF(Q12=I12,I12,N$13-Q$13)</f>
        <v>0</v>
      </c>
      <c r="O12" s="49">
        <f>+IF(L12&lt;&gt;0,N12/L12,G12)</f>
        <v>0</v>
      </c>
      <c r="Q12">
        <f>+IF(L12=0,I12,0)</f>
        <v>0</v>
      </c>
    </row>
    <row r="13" spans="2:17">
      <c r="D13" s="1"/>
      <c r="E13" s="1"/>
      <c r="M13" s="28">
        <f>SUM(M8:M12)</f>
        <v>187002.6102</v>
      </c>
      <c r="N13" s="1">
        <f>+K31</f>
        <v>204373.8602</v>
      </c>
      <c r="Q13">
        <f>SUM(Q8:Q12)</f>
        <v>62730.7</v>
      </c>
    </row>
    <row r="14" spans="2:17">
      <c r="M14" s="25"/>
    </row>
    <row r="15" spans="2:17">
      <c r="B15" s="13" t="s">
        <v>14</v>
      </c>
      <c r="C15" s="14">
        <v>2</v>
      </c>
      <c r="D15" s="11" t="s">
        <v>5</v>
      </c>
      <c r="E15" s="12"/>
      <c r="F15" s="12"/>
      <c r="G15" s="12" t="s">
        <v>6</v>
      </c>
      <c r="H15" s="12"/>
      <c r="I15" s="12" t="s">
        <v>11</v>
      </c>
      <c r="J15" s="12" t="s">
        <v>13</v>
      </c>
      <c r="K15" s="12" t="s">
        <v>12</v>
      </c>
      <c r="L15" s="12" t="s">
        <v>9</v>
      </c>
      <c r="M15" s="24" t="s">
        <v>8</v>
      </c>
    </row>
    <row r="16" spans="2:17">
      <c r="D16" s="3">
        <f>+Prinicpios!D16</f>
        <v>0</v>
      </c>
      <c r="E16" s="4">
        <f>+Prinicpios!E16</f>
        <v>11926</v>
      </c>
      <c r="F16" s="5"/>
      <c r="G16" s="6">
        <f>+Prinicpios!G16</f>
        <v>0</v>
      </c>
      <c r="H16" s="5"/>
      <c r="I16" s="4">
        <f>+(E16-D16)*G16</f>
        <v>0</v>
      </c>
      <c r="J16" s="4">
        <f>+I16</f>
        <v>0</v>
      </c>
      <c r="K16" s="5">
        <f>+IF($C$3&lt;=E16,IF($C$3&gt;D16,1,0),0)</f>
        <v>0</v>
      </c>
      <c r="L16" s="4">
        <f>+IF(C$3&gt;E16,0,IF((C$3-D16)&lt;0,0,(C$3-D16)))</f>
        <v>0</v>
      </c>
      <c r="M16" s="29">
        <v>0</v>
      </c>
    </row>
    <row r="17" spans="2:15">
      <c r="D17" s="3">
        <f>+Prinicpios!D17</f>
        <v>11926</v>
      </c>
      <c r="E17" s="4">
        <f>+Prinicpios!E17</f>
        <v>23792</v>
      </c>
      <c r="F17" s="5"/>
      <c r="G17" s="6">
        <f>+Prinicpios!G17</f>
        <v>5.5E-2</v>
      </c>
      <c r="H17" s="5"/>
      <c r="I17" s="4">
        <f>+(E17-D17)*G17</f>
        <v>652.63</v>
      </c>
      <c r="J17" s="4">
        <f>+J16+I17</f>
        <v>652.63</v>
      </c>
      <c r="K17" s="5">
        <f>+IF($C$3&lt;=E17,IF($C$3&gt;D17,1,0),0)</f>
        <v>0</v>
      </c>
      <c r="L17" s="4">
        <f>+IF(C$3&gt;E17,0,IF((C$3-D17)&lt;0,0,(C$3-D17)))</f>
        <v>0</v>
      </c>
      <c r="M17" s="30">
        <f>+K17*J16+L17*G17</f>
        <v>0</v>
      </c>
    </row>
    <row r="18" spans="2:15">
      <c r="D18" s="3">
        <f>+Prinicpios!D18</f>
        <v>23792</v>
      </c>
      <c r="E18" s="4">
        <f>+Prinicpios!E18</f>
        <v>52840</v>
      </c>
      <c r="F18" s="5"/>
      <c r="G18" s="6">
        <f>+Prinicpios!G18</f>
        <v>0.14000000000000001</v>
      </c>
      <c r="H18" s="5"/>
      <c r="I18" s="4">
        <f>+(E18-D18)*G18</f>
        <v>4066.7200000000003</v>
      </c>
      <c r="J18" s="4">
        <f>+J17+I18</f>
        <v>4719.3500000000004</v>
      </c>
      <c r="K18" s="5">
        <f>+IF($C$3&lt;=E18,IF($C$3&gt;D18,1,0),0)</f>
        <v>0</v>
      </c>
      <c r="L18" s="4">
        <f>+IF(C$3&gt;E18,0,IF((C$3-D18)&lt;0,0,(C$3-D18)))</f>
        <v>0</v>
      </c>
      <c r="M18" s="30">
        <f>+K18*J17+L18*G18</f>
        <v>0</v>
      </c>
    </row>
    <row r="19" spans="2:15">
      <c r="D19" s="3">
        <f>+Prinicpios!D19</f>
        <v>52840</v>
      </c>
      <c r="E19" s="4">
        <f>+Prinicpios!E19</f>
        <v>141660</v>
      </c>
      <c r="F19" s="5"/>
      <c r="G19" s="6">
        <f>+Prinicpios!G19</f>
        <v>0.3</v>
      </c>
      <c r="H19" s="5"/>
      <c r="I19" s="4">
        <f>+(E19-D19)*G19</f>
        <v>26646</v>
      </c>
      <c r="J19" s="4">
        <f>+J18+I19</f>
        <v>31365.35</v>
      </c>
      <c r="K19" s="5">
        <f>+IF($C$3&lt;=E19,IF($C$3&gt;D19,1,0),0)</f>
        <v>0</v>
      </c>
      <c r="L19" s="4">
        <f>+IF(C$3&gt;E19,0,IF((C$3-D19)&lt;0,0,(C$3-D19)))</f>
        <v>0</v>
      </c>
      <c r="M19" s="30">
        <f>+K19*J18+L19*G19</f>
        <v>0</v>
      </c>
    </row>
    <row r="20" spans="2:15">
      <c r="D20" s="7">
        <f>+Prinicpios!D20</f>
        <v>141660</v>
      </c>
      <c r="E20" s="8">
        <f>+Prinicpios!E20</f>
        <v>10000000</v>
      </c>
      <c r="F20" s="9"/>
      <c r="G20" s="10">
        <f>+Prinicpios!G20</f>
        <v>0.41</v>
      </c>
      <c r="H20" s="9"/>
      <c r="I20" s="8">
        <f>+(E20-D20)*G20</f>
        <v>4041919.4</v>
      </c>
      <c r="J20" s="8"/>
      <c r="K20" s="9">
        <f>+IF($C$3&lt;=E20,IF($C$3&gt;D20,1,0),0)</f>
        <v>1</v>
      </c>
      <c r="L20" s="8">
        <f>+IF(C$3&gt;E20,0,IF((C$3-D20)&lt;0,0,(C$3-D20)))</f>
        <v>444762.22</v>
      </c>
      <c r="M20" s="31">
        <f>+K20*J19+L20*G20</f>
        <v>213717.8602</v>
      </c>
    </row>
    <row r="21" spans="2:15">
      <c r="M21" s="31">
        <f>SUM(M16:M20)</f>
        <v>213717.8602</v>
      </c>
    </row>
    <row r="23" spans="2:15">
      <c r="B23" s="20" t="s">
        <v>17</v>
      </c>
    </row>
    <row r="24" spans="2:15">
      <c r="E24" t="s">
        <v>14</v>
      </c>
      <c r="F24" s="2" t="s">
        <v>15</v>
      </c>
      <c r="G24" t="s">
        <v>16</v>
      </c>
    </row>
    <row r="25" spans="2:15">
      <c r="D25" s="1">
        <f>+Prinicpios!D25</f>
        <v>2336</v>
      </c>
      <c r="E25">
        <f>+C7</f>
        <v>4</v>
      </c>
      <c r="F25">
        <f>+(E25-2)*2</f>
        <v>4</v>
      </c>
      <c r="G25">
        <f>+F25*D25</f>
        <v>9344</v>
      </c>
    </row>
    <row r="28" spans="2:15">
      <c r="B28" s="17"/>
      <c r="C28" s="16" t="s">
        <v>19</v>
      </c>
      <c r="D28" s="12">
        <f>+C15</f>
        <v>2</v>
      </c>
      <c r="E28" s="12" t="s">
        <v>14</v>
      </c>
      <c r="F28" s="18">
        <f>+M21</f>
        <v>213717.8602</v>
      </c>
    </row>
    <row r="29" spans="2:15">
      <c r="D29" s="15" t="s">
        <v>23</v>
      </c>
      <c r="E29" s="19"/>
      <c r="F29" s="18">
        <f>+G25</f>
        <v>9344</v>
      </c>
      <c r="O29" t="s">
        <v>25</v>
      </c>
    </row>
    <row r="30" spans="2:15">
      <c r="D30" s="15" t="s">
        <v>18</v>
      </c>
      <c r="E30" s="19"/>
      <c r="F30" s="18">
        <f>+F28-F29</f>
        <v>204373.8602</v>
      </c>
      <c r="G30" s="2" t="s">
        <v>20</v>
      </c>
    </row>
    <row r="31" spans="2:15">
      <c r="H31" s="21" t="s">
        <v>22</v>
      </c>
      <c r="I31" s="22"/>
      <c r="J31" s="22"/>
      <c r="K31" s="23">
        <f>MAX(F30,F32)</f>
        <v>204373.8602</v>
      </c>
    </row>
    <row r="32" spans="2:15">
      <c r="B32" s="17"/>
      <c r="C32" s="16" t="s">
        <v>19</v>
      </c>
      <c r="D32" s="12">
        <f>+C7</f>
        <v>4</v>
      </c>
      <c r="E32" s="12" t="s">
        <v>14</v>
      </c>
      <c r="F32" s="18">
        <f>+M13</f>
        <v>187002.6102</v>
      </c>
      <c r="G32" s="2" t="s">
        <v>21</v>
      </c>
    </row>
    <row r="40" spans="2:12">
      <c r="B40" s="32" t="s">
        <v>7</v>
      </c>
      <c r="C40" s="42">
        <v>0</v>
      </c>
      <c r="D40" s="33">
        <v>11704</v>
      </c>
      <c r="E40" s="33">
        <v>23408</v>
      </c>
      <c r="F40" s="33">
        <v>46692</v>
      </c>
      <c r="G40" s="35">
        <v>51852</v>
      </c>
      <c r="H40" s="33">
        <v>103704</v>
      </c>
      <c r="I40" s="33">
        <v>139010</v>
      </c>
      <c r="J40" s="35">
        <v>278020</v>
      </c>
      <c r="K40" s="33">
        <v>300000</v>
      </c>
      <c r="L40" s="34">
        <v>350000</v>
      </c>
    </row>
    <row r="41" spans="2:12">
      <c r="B41" s="39" t="s">
        <v>26</v>
      </c>
      <c r="C41" s="50">
        <v>0</v>
      </c>
      <c r="D41" s="51">
        <v>0</v>
      </c>
      <c r="E41" s="51">
        <v>648.99</v>
      </c>
      <c r="F41" s="51">
        <v>3908.75</v>
      </c>
      <c r="G41" s="51">
        <v>4631.1499999999996</v>
      </c>
      <c r="H41" s="51">
        <v>20186.75</v>
      </c>
      <c r="I41" s="51">
        <v>30778.55</v>
      </c>
      <c r="J41" s="51">
        <v>86382.55</v>
      </c>
      <c r="K41" s="51">
        <v>95174.55</v>
      </c>
      <c r="L41" s="52">
        <v>115174.55</v>
      </c>
    </row>
    <row r="42" spans="2:12">
      <c r="B42" s="40" t="s">
        <v>29</v>
      </c>
      <c r="C42" s="50">
        <v>0</v>
      </c>
      <c r="D42" s="51">
        <v>0</v>
      </c>
      <c r="E42" s="51">
        <v>0</v>
      </c>
      <c r="F42" s="51">
        <v>1280.6199999999999</v>
      </c>
      <c r="G42" s="51">
        <v>2003.02</v>
      </c>
      <c r="H42" s="51">
        <v>9262.2999999999993</v>
      </c>
      <c r="I42" s="51">
        <v>19854.099999999999</v>
      </c>
      <c r="J42" s="51">
        <v>61557.1</v>
      </c>
      <c r="K42" s="51">
        <v>70349.100000000006</v>
      </c>
      <c r="L42" s="52">
        <v>90349.1</v>
      </c>
    </row>
    <row r="43" spans="2:12">
      <c r="B43" s="41" t="s">
        <v>8</v>
      </c>
      <c r="C43" s="53">
        <f t="shared" ref="C43:L43" si="0">+MAX(C41-$F$29,C42)</f>
        <v>0</v>
      </c>
      <c r="D43" s="54">
        <f t="shared" si="0"/>
        <v>0</v>
      </c>
      <c r="E43" s="54">
        <f t="shared" si="0"/>
        <v>0</v>
      </c>
      <c r="F43" s="54">
        <f t="shared" si="0"/>
        <v>1280.6199999999999</v>
      </c>
      <c r="G43" s="54">
        <f t="shared" si="0"/>
        <v>2003.02</v>
      </c>
      <c r="H43" s="54">
        <f t="shared" si="0"/>
        <v>10842.75</v>
      </c>
      <c r="I43" s="54">
        <f t="shared" si="0"/>
        <v>21434.55</v>
      </c>
      <c r="J43" s="54">
        <f t="shared" si="0"/>
        <v>77038.55</v>
      </c>
      <c r="K43" s="54">
        <f t="shared" si="0"/>
        <v>85830.55</v>
      </c>
      <c r="L43" s="55">
        <f t="shared" si="0"/>
        <v>105830.55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3:Q43"/>
  <sheetViews>
    <sheetView showGridLines="0" topLeftCell="A9" workbookViewId="0">
      <selection activeCell="D36" sqref="D36"/>
    </sheetView>
  </sheetViews>
  <sheetFormatPr baseColWidth="10" defaultRowHeight="12.75"/>
  <sheetData>
    <row r="3" spans="2:17">
      <c r="B3" s="26" t="s">
        <v>10</v>
      </c>
      <c r="C3" s="27">
        <f>+'2010'!O78</f>
        <v>33785.942057410488</v>
      </c>
    </row>
    <row r="4" spans="2:17">
      <c r="B4" t="s">
        <v>27</v>
      </c>
      <c r="C4" s="1">
        <f>+M21</f>
        <v>2051.7818880374684</v>
      </c>
    </row>
    <row r="5" spans="2:17">
      <c r="B5" t="s">
        <v>28</v>
      </c>
      <c r="C5" s="1">
        <f>+M13</f>
        <v>546.36670000000004</v>
      </c>
    </row>
    <row r="7" spans="2:17">
      <c r="B7" s="13" t="s">
        <v>14</v>
      </c>
      <c r="C7" s="14">
        <v>4</v>
      </c>
      <c r="D7" s="11" t="s">
        <v>5</v>
      </c>
      <c r="E7" s="12"/>
      <c r="F7" s="12"/>
      <c r="G7" s="12" t="s">
        <v>6</v>
      </c>
      <c r="H7" s="12"/>
      <c r="I7" s="12" t="s">
        <v>11</v>
      </c>
      <c r="J7" s="12" t="s">
        <v>13</v>
      </c>
      <c r="K7" s="12" t="s">
        <v>12</v>
      </c>
      <c r="L7" s="12" t="s">
        <v>9</v>
      </c>
      <c r="M7" s="24" t="s">
        <v>8</v>
      </c>
      <c r="O7" s="37" t="s">
        <v>24</v>
      </c>
    </row>
    <row r="8" spans="2:17">
      <c r="D8" s="3">
        <f>+Prinicpios!D8</f>
        <v>0</v>
      </c>
      <c r="E8" s="4">
        <f>+Prinicpios!E8</f>
        <v>23852</v>
      </c>
      <c r="F8" s="5"/>
      <c r="G8" s="6">
        <f>+Prinicpios!G8</f>
        <v>0</v>
      </c>
      <c r="H8" s="5"/>
      <c r="I8" s="4">
        <f>+(E8-D8)*G8</f>
        <v>0</v>
      </c>
      <c r="J8" s="4">
        <f>+I8</f>
        <v>0</v>
      </c>
      <c r="K8" s="5">
        <f>+IF($C$3&lt;=E8,IF($C$3&gt;D8,1,0),0)</f>
        <v>0</v>
      </c>
      <c r="L8" s="4">
        <f>ROUND(+IF(C$3&gt;E8,0,IF((C$3-D8)&lt;0,0,(C$3-D8))),2)</f>
        <v>0</v>
      </c>
      <c r="M8" s="29">
        <v>0</v>
      </c>
      <c r="N8" s="36">
        <f>+IF(Q8=I8,I8,N$13-Q$13)</f>
        <v>0</v>
      </c>
      <c r="O8" s="48">
        <f>+IF(L8&lt;&gt;0,L8/N8,G8)</f>
        <v>0</v>
      </c>
      <c r="Q8">
        <f>+IF(L8=0,I8,0)</f>
        <v>0</v>
      </c>
    </row>
    <row r="9" spans="2:17">
      <c r="D9" s="3">
        <f>+Prinicpios!D9</f>
        <v>23852</v>
      </c>
      <c r="E9" s="4">
        <f>+Prinicpios!E9</f>
        <v>47584</v>
      </c>
      <c r="F9" s="5"/>
      <c r="G9" s="6">
        <f>+Prinicpios!G9</f>
        <v>5.5E-2</v>
      </c>
      <c r="H9" s="5"/>
      <c r="I9" s="4">
        <f>+(E9-D9)*G9</f>
        <v>1305.26</v>
      </c>
      <c r="J9" s="4">
        <f>+J8+I9</f>
        <v>1305.26</v>
      </c>
      <c r="K9" s="5">
        <f>+IF($C$3&lt;=E9,IF($C$3&gt;D9,1,0),0)</f>
        <v>1</v>
      </c>
      <c r="L9" s="4">
        <f>ROUND(+IF(C$3&gt;E9,0,IF((C$3-D9)&lt;0,0,(C$3-D9))),2)</f>
        <v>9933.94</v>
      </c>
      <c r="M9" s="30">
        <f>+K9*J8+L9*G9</f>
        <v>546.36670000000004</v>
      </c>
      <c r="N9" s="36">
        <f>+IF(Q9=I9,I9,N$13-Q$13)</f>
        <v>-60879.073300000004</v>
      </c>
      <c r="O9" s="48">
        <f>+IF(L9&lt;&gt;0,L9/N9,G9)</f>
        <v>-0.16317495424162443</v>
      </c>
      <c r="Q9">
        <f>+IF(L9=0,I9,0)</f>
        <v>0</v>
      </c>
    </row>
    <row r="10" spans="2:17">
      <c r="D10" s="3">
        <f>+Prinicpios!D10</f>
        <v>47584</v>
      </c>
      <c r="E10" s="4">
        <f>+Prinicpios!E10</f>
        <v>105680</v>
      </c>
      <c r="F10" s="5"/>
      <c r="G10" s="6">
        <f>+Prinicpios!G10</f>
        <v>0.14000000000000001</v>
      </c>
      <c r="H10" s="5"/>
      <c r="I10" s="4">
        <f>+(E10-D10)*G10</f>
        <v>8133.4400000000005</v>
      </c>
      <c r="J10" s="4">
        <f>+J9+I10</f>
        <v>9438.7000000000007</v>
      </c>
      <c r="K10" s="5">
        <f>+IF($C$3&lt;=E10,IF($C$3&gt;D10,1,0),0)</f>
        <v>0</v>
      </c>
      <c r="L10" s="4">
        <f>ROUND(+IF(C$3&gt;E10,0,IF((C$3-D10)&lt;0,0,(C$3-D10))),2)</f>
        <v>0</v>
      </c>
      <c r="M10" s="30">
        <f>+K10*J9+L10*G10</f>
        <v>0</v>
      </c>
      <c r="N10" s="36">
        <f>+IF(Q10=I10,I10,N$13-Q$13)</f>
        <v>8133.4400000000005</v>
      </c>
      <c r="O10" s="48">
        <f>+IF(L10&lt;&gt;0,L10/N10,G10)</f>
        <v>0.14000000000000001</v>
      </c>
      <c r="Q10">
        <f>+IF(L10=0,I10,0)</f>
        <v>8133.4400000000005</v>
      </c>
    </row>
    <row r="11" spans="2:17">
      <c r="D11" s="3">
        <f>+Prinicpios!D11</f>
        <v>105680</v>
      </c>
      <c r="E11" s="4">
        <f>+Prinicpios!E11</f>
        <v>283320</v>
      </c>
      <c r="F11" s="5"/>
      <c r="G11" s="6">
        <f>+Prinicpios!G11</f>
        <v>0.3</v>
      </c>
      <c r="H11" s="5"/>
      <c r="I11" s="4">
        <f>+(E11-D11)*G11</f>
        <v>53292</v>
      </c>
      <c r="J11" s="4">
        <f>+J10+I11</f>
        <v>62730.7</v>
      </c>
      <c r="K11" s="5">
        <f>+IF($C$3&lt;=E11,IF($C$3&gt;D11,1,0),0)</f>
        <v>0</v>
      </c>
      <c r="L11" s="4">
        <f>ROUND(+IF(C$3&gt;E11,0,IF((C$3-D11)&lt;0,0,(C$3-D11))),2)</f>
        <v>0</v>
      </c>
      <c r="M11" s="30">
        <f>+K11*J10+L11*G11</f>
        <v>0</v>
      </c>
      <c r="N11" s="36">
        <f>+IF(Q11=I11,I11,N$13-Q$13)</f>
        <v>53292</v>
      </c>
      <c r="O11" s="48">
        <f>+IF(L11&lt;&gt;0,N11/L11,G11)</f>
        <v>0.3</v>
      </c>
      <c r="Q11">
        <f>+IF(L11=0,I11,0)</f>
        <v>53292</v>
      </c>
    </row>
    <row r="12" spans="2:17">
      <c r="D12" s="7">
        <f>+Prinicpios!D12</f>
        <v>283320</v>
      </c>
      <c r="E12" s="8">
        <f>+Prinicpios!E12</f>
        <v>10000000</v>
      </c>
      <c r="F12" s="9"/>
      <c r="G12" s="10">
        <f>+Prinicpios!G12</f>
        <v>0.41</v>
      </c>
      <c r="H12" s="9"/>
      <c r="I12" s="8"/>
      <c r="J12" s="8"/>
      <c r="K12" s="9">
        <f>+IF($C$3&lt;=E12,IF($C$3&gt;D12,1,0),0)</f>
        <v>0</v>
      </c>
      <c r="L12" s="8">
        <f>ROUND(+IF(C$3&gt;E12,0,IF((C$3-D12)&lt;0,0,(C$3-D12))),2)</f>
        <v>0</v>
      </c>
      <c r="M12" s="31">
        <f>+K12*J11+L12*G12</f>
        <v>0</v>
      </c>
      <c r="N12" s="36">
        <f>+IF(Q12=I12,I12,N$13-Q$13)</f>
        <v>0</v>
      </c>
      <c r="O12" s="49">
        <f>+IF(L12&lt;&gt;0,N12/L12,G12)</f>
        <v>0.41</v>
      </c>
      <c r="Q12">
        <f>+IF(L12=0,I12,0)</f>
        <v>0</v>
      </c>
    </row>
    <row r="13" spans="2:17">
      <c r="D13" s="1"/>
      <c r="E13" s="1"/>
      <c r="M13" s="28">
        <f>SUM(M8:M12)</f>
        <v>546.36670000000004</v>
      </c>
      <c r="N13" s="1">
        <f>+K31</f>
        <v>546.36670000000004</v>
      </c>
      <c r="Q13">
        <f>SUM(Q8:Q12)</f>
        <v>61425.440000000002</v>
      </c>
    </row>
    <row r="14" spans="2:17">
      <c r="M14" s="25"/>
    </row>
    <row r="15" spans="2:17">
      <c r="B15" s="13" t="s">
        <v>14</v>
      </c>
      <c r="C15" s="14">
        <v>2</v>
      </c>
      <c r="D15" s="11" t="s">
        <v>5</v>
      </c>
      <c r="E15" s="12"/>
      <c r="F15" s="12"/>
      <c r="G15" s="12" t="s">
        <v>6</v>
      </c>
      <c r="H15" s="12"/>
      <c r="I15" s="12" t="s">
        <v>11</v>
      </c>
      <c r="J15" s="12" t="s">
        <v>13</v>
      </c>
      <c r="K15" s="12" t="s">
        <v>12</v>
      </c>
      <c r="L15" s="12" t="s">
        <v>9</v>
      </c>
      <c r="M15" s="24" t="s">
        <v>8</v>
      </c>
    </row>
    <row r="16" spans="2:17">
      <c r="D16" s="3">
        <f>+Prinicpios!D16</f>
        <v>0</v>
      </c>
      <c r="E16" s="4">
        <f>+Prinicpios!E16</f>
        <v>11926</v>
      </c>
      <c r="F16" s="5"/>
      <c r="G16" s="6">
        <f>+Prinicpios!G16</f>
        <v>0</v>
      </c>
      <c r="H16" s="5"/>
      <c r="I16" s="4">
        <f>+(E16-D16)*G16</f>
        <v>0</v>
      </c>
      <c r="J16" s="4">
        <f>+I16</f>
        <v>0</v>
      </c>
      <c r="K16" s="5">
        <f>+IF($C$3&lt;=E16,IF($C$3&gt;D16,1,0),0)</f>
        <v>0</v>
      </c>
      <c r="L16" s="4">
        <f>+IF(C$3&gt;E16,0,IF((C$3-D16)&lt;0,0,(C$3-D16)))</f>
        <v>0</v>
      </c>
      <c r="M16" s="29">
        <v>0</v>
      </c>
    </row>
    <row r="17" spans="2:15">
      <c r="D17" s="3">
        <f>+Prinicpios!D17</f>
        <v>11926</v>
      </c>
      <c r="E17" s="4">
        <f>+Prinicpios!E17</f>
        <v>23792</v>
      </c>
      <c r="F17" s="5"/>
      <c r="G17" s="6">
        <f>+Prinicpios!G17</f>
        <v>5.5E-2</v>
      </c>
      <c r="H17" s="5"/>
      <c r="I17" s="4">
        <f>+(E17-D17)*G17</f>
        <v>652.63</v>
      </c>
      <c r="J17" s="4">
        <f>+J16+I17</f>
        <v>652.63</v>
      </c>
      <c r="K17" s="5">
        <f>+IF($C$3&lt;=E17,IF($C$3&gt;D17,1,0),0)</f>
        <v>0</v>
      </c>
      <c r="L17" s="4">
        <f>+IF(C$3&gt;E17,0,IF((C$3-D17)&lt;0,0,(C$3-D17)))</f>
        <v>0</v>
      </c>
      <c r="M17" s="30">
        <f>+K17*J16+L17*G17</f>
        <v>0</v>
      </c>
    </row>
    <row r="18" spans="2:15">
      <c r="D18" s="3">
        <f>+Prinicpios!D18</f>
        <v>23792</v>
      </c>
      <c r="E18" s="4">
        <f>+Prinicpios!E18</f>
        <v>52840</v>
      </c>
      <c r="F18" s="5"/>
      <c r="G18" s="6">
        <f>+Prinicpios!G18</f>
        <v>0.14000000000000001</v>
      </c>
      <c r="H18" s="5"/>
      <c r="I18" s="4">
        <f>+(E18-D18)*G18</f>
        <v>4066.7200000000003</v>
      </c>
      <c r="J18" s="4">
        <f>+J17+I18</f>
        <v>4719.3500000000004</v>
      </c>
      <c r="K18" s="5">
        <f>+IF($C$3&lt;=E18,IF($C$3&gt;D18,1,0),0)</f>
        <v>1</v>
      </c>
      <c r="L18" s="4">
        <f>+IF(C$3&gt;E18,0,IF((C$3-D18)&lt;0,0,(C$3-D18)))</f>
        <v>9993.9420574104879</v>
      </c>
      <c r="M18" s="30">
        <f>+K18*J17+L18*G18</f>
        <v>2051.7818880374684</v>
      </c>
    </row>
    <row r="19" spans="2:15">
      <c r="D19" s="3">
        <f>+Prinicpios!D19</f>
        <v>52840</v>
      </c>
      <c r="E19" s="4">
        <f>+Prinicpios!E19</f>
        <v>141660</v>
      </c>
      <c r="F19" s="5"/>
      <c r="G19" s="6">
        <f>+Prinicpios!G19</f>
        <v>0.3</v>
      </c>
      <c r="H19" s="5"/>
      <c r="I19" s="4">
        <f>+(E19-D19)*G19</f>
        <v>26646</v>
      </c>
      <c r="J19" s="4">
        <f>+J18+I19</f>
        <v>31365.35</v>
      </c>
      <c r="K19" s="5">
        <f>+IF($C$3&lt;=E19,IF($C$3&gt;D19,1,0),0)</f>
        <v>0</v>
      </c>
      <c r="L19" s="4">
        <f>+IF(C$3&gt;E19,0,IF((C$3-D19)&lt;0,0,(C$3-D19)))</f>
        <v>0</v>
      </c>
      <c r="M19" s="30">
        <f>+K19*J18+L19*G19</f>
        <v>0</v>
      </c>
    </row>
    <row r="20" spans="2:15">
      <c r="D20" s="7">
        <f>+Prinicpios!D20</f>
        <v>141660</v>
      </c>
      <c r="E20" s="8">
        <f>+Prinicpios!E20</f>
        <v>10000000</v>
      </c>
      <c r="F20" s="9"/>
      <c r="G20" s="10">
        <f>+Prinicpios!G20</f>
        <v>0.41</v>
      </c>
      <c r="H20" s="9"/>
      <c r="I20" s="8">
        <f>+(E20-D20)*G20</f>
        <v>4041919.4</v>
      </c>
      <c r="J20" s="8"/>
      <c r="K20" s="9">
        <f>+IF($C$3&lt;=E20,IF($C$3&gt;D20,1,0),0)</f>
        <v>0</v>
      </c>
      <c r="L20" s="8">
        <f>+IF(C$3&gt;E20,0,IF((C$3-D20)&lt;0,0,(C$3-D20)))</f>
        <v>0</v>
      </c>
      <c r="M20" s="31">
        <f>+K20*J19+L20*G20</f>
        <v>0</v>
      </c>
    </row>
    <row r="21" spans="2:15">
      <c r="M21" s="31">
        <f>SUM(M16:M20)</f>
        <v>2051.7818880374684</v>
      </c>
    </row>
    <row r="23" spans="2:15">
      <c r="B23" s="20" t="s">
        <v>17</v>
      </c>
    </row>
    <row r="24" spans="2:15">
      <c r="E24" t="s">
        <v>14</v>
      </c>
      <c r="F24" s="2" t="s">
        <v>15</v>
      </c>
      <c r="G24" t="s">
        <v>16</v>
      </c>
    </row>
    <row r="25" spans="2:15">
      <c r="D25" s="1">
        <f>+Prinicpios!D25</f>
        <v>2336</v>
      </c>
      <c r="E25">
        <f>+C7</f>
        <v>4</v>
      </c>
      <c r="F25">
        <f>+(E25-2)*2</f>
        <v>4</v>
      </c>
      <c r="G25">
        <f>+F25*D25</f>
        <v>9344</v>
      </c>
    </row>
    <row r="28" spans="2:15">
      <c r="B28" s="17"/>
      <c r="C28" s="16" t="s">
        <v>19</v>
      </c>
      <c r="D28" s="12">
        <f>+C15</f>
        <v>2</v>
      </c>
      <c r="E28" s="12" t="s">
        <v>14</v>
      </c>
      <c r="F28" s="18">
        <f>+M21</f>
        <v>2051.7818880374684</v>
      </c>
    </row>
    <row r="29" spans="2:15">
      <c r="D29" s="15" t="s">
        <v>23</v>
      </c>
      <c r="E29" s="19"/>
      <c r="F29" s="18">
        <f>+G25</f>
        <v>9344</v>
      </c>
      <c r="O29" t="s">
        <v>25</v>
      </c>
    </row>
    <row r="30" spans="2:15">
      <c r="D30" s="15" t="s">
        <v>18</v>
      </c>
      <c r="E30" s="19"/>
      <c r="F30" s="18">
        <f>+F28-F29</f>
        <v>-7292.2181119625311</v>
      </c>
      <c r="G30" s="2" t="s">
        <v>20</v>
      </c>
    </row>
    <row r="31" spans="2:15">
      <c r="H31" s="21" t="s">
        <v>22</v>
      </c>
      <c r="I31" s="22"/>
      <c r="J31" s="22"/>
      <c r="K31" s="23">
        <f>MAX(F30,F32)</f>
        <v>546.36670000000004</v>
      </c>
    </row>
    <row r="32" spans="2:15">
      <c r="B32" s="17"/>
      <c r="C32" s="16" t="s">
        <v>19</v>
      </c>
      <c r="D32" s="12">
        <f>+C7</f>
        <v>4</v>
      </c>
      <c r="E32" s="12" t="s">
        <v>14</v>
      </c>
      <c r="F32" s="18">
        <f>+M13</f>
        <v>546.36670000000004</v>
      </c>
      <c r="G32" s="2" t="s">
        <v>21</v>
      </c>
    </row>
    <row r="40" spans="2:12">
      <c r="B40" s="32" t="s">
        <v>7</v>
      </c>
      <c r="C40" s="42">
        <v>0</v>
      </c>
      <c r="D40" s="33">
        <v>11704</v>
      </c>
      <c r="E40" s="33">
        <v>23408</v>
      </c>
      <c r="F40" s="33">
        <v>46692</v>
      </c>
      <c r="G40" s="35">
        <v>51852</v>
      </c>
      <c r="H40" s="33">
        <v>103704</v>
      </c>
      <c r="I40" s="33">
        <v>139010</v>
      </c>
      <c r="J40" s="35">
        <v>278020</v>
      </c>
      <c r="K40" s="33">
        <v>300000</v>
      </c>
      <c r="L40" s="34">
        <v>350000</v>
      </c>
    </row>
    <row r="41" spans="2:12">
      <c r="B41" s="39" t="s">
        <v>26</v>
      </c>
      <c r="C41" s="50">
        <v>0</v>
      </c>
      <c r="D41" s="51">
        <v>0</v>
      </c>
      <c r="E41" s="51">
        <v>648.99</v>
      </c>
      <c r="F41" s="51">
        <v>3908.75</v>
      </c>
      <c r="G41" s="51">
        <v>4631.1499999999996</v>
      </c>
      <c r="H41" s="51">
        <v>20186.75</v>
      </c>
      <c r="I41" s="51">
        <v>30778.55</v>
      </c>
      <c r="J41" s="51">
        <v>86382.55</v>
      </c>
      <c r="K41" s="51">
        <v>95174.55</v>
      </c>
      <c r="L41" s="52">
        <v>115174.55</v>
      </c>
    </row>
    <row r="42" spans="2:12">
      <c r="B42" s="40" t="s">
        <v>29</v>
      </c>
      <c r="C42" s="50">
        <v>0</v>
      </c>
      <c r="D42" s="51">
        <v>0</v>
      </c>
      <c r="E42" s="51">
        <v>0</v>
      </c>
      <c r="F42" s="51">
        <v>1280.6199999999999</v>
      </c>
      <c r="G42" s="51">
        <v>2003.02</v>
      </c>
      <c r="H42" s="51">
        <v>9262.2999999999993</v>
      </c>
      <c r="I42" s="51">
        <v>19854.099999999999</v>
      </c>
      <c r="J42" s="51">
        <v>61557.1</v>
      </c>
      <c r="K42" s="51">
        <v>70349.100000000006</v>
      </c>
      <c r="L42" s="52">
        <v>90349.1</v>
      </c>
    </row>
    <row r="43" spans="2:12">
      <c r="B43" s="41" t="s">
        <v>8</v>
      </c>
      <c r="C43" s="53">
        <f t="shared" ref="C43:L43" si="0">+MAX(C41-$F$29,C42)</f>
        <v>0</v>
      </c>
      <c r="D43" s="54">
        <f t="shared" si="0"/>
        <v>0</v>
      </c>
      <c r="E43" s="54">
        <f t="shared" si="0"/>
        <v>0</v>
      </c>
      <c r="F43" s="54">
        <f t="shared" si="0"/>
        <v>1280.6199999999999</v>
      </c>
      <c r="G43" s="54">
        <f t="shared" si="0"/>
        <v>2003.02</v>
      </c>
      <c r="H43" s="54">
        <f t="shared" si="0"/>
        <v>10842.75</v>
      </c>
      <c r="I43" s="54">
        <f t="shared" si="0"/>
        <v>21434.55</v>
      </c>
      <c r="J43" s="54">
        <f t="shared" si="0"/>
        <v>77038.55</v>
      </c>
      <c r="K43" s="54">
        <f t="shared" si="0"/>
        <v>85830.55</v>
      </c>
      <c r="L43" s="55">
        <f t="shared" si="0"/>
        <v>105830.55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3:Q43"/>
  <sheetViews>
    <sheetView showGridLines="0" topLeftCell="A6" workbookViewId="0">
      <selection activeCell="A19" sqref="A19"/>
    </sheetView>
  </sheetViews>
  <sheetFormatPr baseColWidth="10" defaultRowHeight="12.75"/>
  <sheetData>
    <row r="3" spans="2:17">
      <c r="B3" s="26" t="s">
        <v>10</v>
      </c>
      <c r="C3" s="27">
        <f>+'2010'!P78</f>
        <v>162828.01154305786</v>
      </c>
    </row>
    <row r="7" spans="2:17">
      <c r="B7" s="13" t="s">
        <v>14</v>
      </c>
      <c r="C7" s="14">
        <v>4</v>
      </c>
      <c r="D7" s="11" t="s">
        <v>5</v>
      </c>
      <c r="E7" s="12"/>
      <c r="F7" s="12"/>
      <c r="G7" s="12" t="s">
        <v>6</v>
      </c>
      <c r="H7" s="12"/>
      <c r="I7" s="12" t="s">
        <v>11</v>
      </c>
      <c r="J7" s="12" t="s">
        <v>13</v>
      </c>
      <c r="K7" s="12" t="s">
        <v>12</v>
      </c>
      <c r="L7" s="12" t="s">
        <v>9</v>
      </c>
      <c r="M7" s="24" t="s">
        <v>8</v>
      </c>
      <c r="O7" s="37" t="s">
        <v>24</v>
      </c>
    </row>
    <row r="8" spans="2:17">
      <c r="D8" s="3">
        <f>+Prinicpios!D8</f>
        <v>0</v>
      </c>
      <c r="E8" s="4">
        <f>+Prinicpios!E8</f>
        <v>23852</v>
      </c>
      <c r="F8" s="5"/>
      <c r="G8" s="6">
        <f>+Prinicpios!G8</f>
        <v>0</v>
      </c>
      <c r="H8" s="5"/>
      <c r="I8" s="4">
        <f>+(E8-D8)*G8</f>
        <v>0</v>
      </c>
      <c r="J8" s="4">
        <f>+I8</f>
        <v>0</v>
      </c>
      <c r="K8" s="5">
        <f>+IF($C$3&lt;=E8,IF($C$3&gt;D8,1,0),0)</f>
        <v>0</v>
      </c>
      <c r="L8" s="4">
        <f>ROUND(+IF(C$3&gt;E8,0,IF((C$3-D8)&lt;0,0,(C$3-D8))),2)</f>
        <v>0</v>
      </c>
      <c r="M8" s="29">
        <v>0</v>
      </c>
      <c r="N8" s="36">
        <f>+IF(Q8=I8,I8,N$13-Q$13)</f>
        <v>0</v>
      </c>
      <c r="O8" s="48">
        <f>+IF(L8&lt;&gt;0,L8/N8,G8)</f>
        <v>0</v>
      </c>
      <c r="Q8">
        <f>+IF(L8=0,I8,0)</f>
        <v>0</v>
      </c>
    </row>
    <row r="9" spans="2:17">
      <c r="D9" s="3">
        <f>+Prinicpios!D9</f>
        <v>23852</v>
      </c>
      <c r="E9" s="4">
        <f>+Prinicpios!E9</f>
        <v>47584</v>
      </c>
      <c r="F9" s="5"/>
      <c r="G9" s="6">
        <f>+Prinicpios!G9</f>
        <v>5.5E-2</v>
      </c>
      <c r="H9" s="5"/>
      <c r="I9" s="4">
        <f>+(E9-D9)*G9</f>
        <v>1305.26</v>
      </c>
      <c r="J9" s="4">
        <f>+J8+I9</f>
        <v>1305.26</v>
      </c>
      <c r="K9" s="5">
        <f>+IF($C$3&lt;=E9,IF($C$3&gt;D9,1,0),0)</f>
        <v>0</v>
      </c>
      <c r="L9" s="4">
        <f>ROUND(+IF(C$3&gt;E9,0,IF((C$3-D9)&lt;0,0,(C$3-D9))),2)</f>
        <v>0</v>
      </c>
      <c r="M9" s="30">
        <f>+K9*J8+L9*G9</f>
        <v>0</v>
      </c>
      <c r="N9" s="36">
        <f>+IF(Q9=I9,I9,N$13-Q$13)</f>
        <v>1305.26</v>
      </c>
      <c r="O9" s="48">
        <f>+IF(L9&lt;&gt;0,L9/N9,G9)</f>
        <v>5.5E-2</v>
      </c>
      <c r="Q9">
        <f>+IF(L9=0,I9,0)</f>
        <v>1305.26</v>
      </c>
    </row>
    <row r="10" spans="2:17">
      <c r="D10" s="3">
        <f>+Prinicpios!D10</f>
        <v>47584</v>
      </c>
      <c r="E10" s="4">
        <f>+Prinicpios!E10</f>
        <v>105680</v>
      </c>
      <c r="F10" s="5"/>
      <c r="G10" s="6">
        <f>+Prinicpios!G10</f>
        <v>0.14000000000000001</v>
      </c>
      <c r="H10" s="5"/>
      <c r="I10" s="4">
        <f>+(E10-D10)*G10</f>
        <v>8133.4400000000005</v>
      </c>
      <c r="J10" s="4">
        <f>+J9+I10</f>
        <v>9438.7000000000007</v>
      </c>
      <c r="K10" s="5">
        <f>+IF($C$3&lt;=E10,IF($C$3&gt;D10,1,0),0)</f>
        <v>0</v>
      </c>
      <c r="L10" s="4">
        <f>ROUND(+IF(C$3&gt;E10,0,IF((C$3-D10)&lt;0,0,(C$3-D10))),2)</f>
        <v>0</v>
      </c>
      <c r="M10" s="30">
        <f>+K10*J9+L10*G10</f>
        <v>0</v>
      </c>
      <c r="N10" s="36">
        <f>+IF(Q10=I10,I10,N$13-Q$13)</f>
        <v>8133.4400000000005</v>
      </c>
      <c r="O10" s="48">
        <f>+IF(L10&lt;&gt;0,L10/N10,G10)</f>
        <v>0.14000000000000001</v>
      </c>
      <c r="Q10">
        <f>+IF(L10=0,I10,0)</f>
        <v>8133.4400000000005</v>
      </c>
    </row>
    <row r="11" spans="2:17">
      <c r="D11" s="3">
        <f>+Prinicpios!D11</f>
        <v>105680</v>
      </c>
      <c r="E11" s="4">
        <f>+Prinicpios!E11</f>
        <v>283320</v>
      </c>
      <c r="F11" s="5"/>
      <c r="G11" s="6">
        <f>+Prinicpios!G11</f>
        <v>0.3</v>
      </c>
      <c r="H11" s="5"/>
      <c r="I11" s="4">
        <f>+(E11-D11)*G11</f>
        <v>53292</v>
      </c>
      <c r="J11" s="4">
        <f>+J10+I11</f>
        <v>62730.7</v>
      </c>
      <c r="K11" s="5">
        <f>+IF($C$3&lt;=E11,IF($C$3&gt;D11,1,0),0)</f>
        <v>1</v>
      </c>
      <c r="L11" s="4">
        <f>ROUND(+IF(C$3&gt;E11,0,IF((C$3-D11)&lt;0,0,(C$3-D11))),2)</f>
        <v>57148.01</v>
      </c>
      <c r="M11" s="30">
        <f>+K11*J10+L11*G11</f>
        <v>26583.102999999999</v>
      </c>
      <c r="N11" s="36">
        <f>+IF(Q11=I11,I11,N$13-Q$13)</f>
        <v>21261.534732653719</v>
      </c>
      <c r="O11" s="48">
        <f>+IF(L11&lt;&gt;0,N11/L11,G11)</f>
        <v>0.37204330881606756</v>
      </c>
      <c r="Q11">
        <f>+IF(L11=0,I11,0)</f>
        <v>0</v>
      </c>
    </row>
    <row r="12" spans="2:17">
      <c r="D12" s="7">
        <f>+Prinicpios!D12</f>
        <v>283320</v>
      </c>
      <c r="E12" s="8">
        <f>+Prinicpios!E12</f>
        <v>10000000</v>
      </c>
      <c r="F12" s="9"/>
      <c r="G12" s="10">
        <f>+Prinicpios!G12</f>
        <v>0.41</v>
      </c>
      <c r="H12" s="9"/>
      <c r="I12" s="8"/>
      <c r="J12" s="8"/>
      <c r="K12" s="9">
        <f>+IF($C$3&lt;=E12,IF($C$3&gt;D12,1,0),0)</f>
        <v>0</v>
      </c>
      <c r="L12" s="8">
        <f>ROUND(+IF(C$3&gt;E12,0,IF((C$3-D12)&lt;0,0,(C$3-D12))),2)</f>
        <v>0</v>
      </c>
      <c r="M12" s="31">
        <f>+K12*J11+L12*G12</f>
        <v>0</v>
      </c>
      <c r="N12" s="36">
        <f>+IF(Q12=I12,I12,N$13-Q$13)</f>
        <v>0</v>
      </c>
      <c r="O12" s="49">
        <f>+IF(L12&lt;&gt;0,N12/L12,G12)</f>
        <v>0.41</v>
      </c>
      <c r="Q12">
        <f>+IF(L12=0,I12,0)</f>
        <v>0</v>
      </c>
    </row>
    <row r="13" spans="2:17">
      <c r="D13" s="1"/>
      <c r="E13" s="1"/>
      <c r="M13" s="28">
        <f>SUM(M8:M12)</f>
        <v>26583.102999999999</v>
      </c>
      <c r="N13" s="1">
        <f>+K31</f>
        <v>30700.23473265372</v>
      </c>
      <c r="Q13">
        <f>SUM(Q8:Q12)</f>
        <v>9438.7000000000007</v>
      </c>
    </row>
    <row r="14" spans="2:17">
      <c r="M14" s="25"/>
    </row>
    <row r="15" spans="2:17">
      <c r="B15" s="13" t="s">
        <v>14</v>
      </c>
      <c r="C15" s="14">
        <v>2</v>
      </c>
      <c r="D15" s="11" t="s">
        <v>5</v>
      </c>
      <c r="E15" s="12"/>
      <c r="F15" s="12"/>
      <c r="G15" s="12" t="s">
        <v>6</v>
      </c>
      <c r="H15" s="12"/>
      <c r="I15" s="12" t="s">
        <v>11</v>
      </c>
      <c r="J15" s="12" t="s">
        <v>13</v>
      </c>
      <c r="K15" s="12" t="s">
        <v>12</v>
      </c>
      <c r="L15" s="12" t="s">
        <v>9</v>
      </c>
      <c r="M15" s="24" t="s">
        <v>8</v>
      </c>
    </row>
    <row r="16" spans="2:17">
      <c r="D16" s="3">
        <f>+Prinicpios!D16</f>
        <v>0</v>
      </c>
      <c r="E16" s="4">
        <f>+Prinicpios!E16</f>
        <v>11926</v>
      </c>
      <c r="F16" s="5"/>
      <c r="G16" s="6">
        <f>+Prinicpios!G16</f>
        <v>0</v>
      </c>
      <c r="H16" s="5"/>
      <c r="I16" s="4">
        <f>+(E16-D16)*G16</f>
        <v>0</v>
      </c>
      <c r="J16" s="4">
        <f>+I16</f>
        <v>0</v>
      </c>
      <c r="K16" s="5">
        <f>+IF($C$3&lt;=E16,IF($C$3&gt;D16,1,0),0)</f>
        <v>0</v>
      </c>
      <c r="L16" s="4">
        <f>+IF(C$3&gt;E16,0,IF((C$3-D16)&lt;0,0,(C$3-D16)))</f>
        <v>0</v>
      </c>
      <c r="M16" s="29">
        <v>0</v>
      </c>
    </row>
    <row r="17" spans="2:15">
      <c r="D17" s="3">
        <f>+Prinicpios!D17</f>
        <v>11926</v>
      </c>
      <c r="E17" s="4">
        <f>+Prinicpios!E17</f>
        <v>23792</v>
      </c>
      <c r="F17" s="5"/>
      <c r="G17" s="6">
        <f>+Prinicpios!G17</f>
        <v>5.5E-2</v>
      </c>
      <c r="H17" s="5"/>
      <c r="I17" s="4">
        <f>+(E17-D17)*G17</f>
        <v>652.63</v>
      </c>
      <c r="J17" s="4">
        <f>+J16+I17</f>
        <v>652.63</v>
      </c>
      <c r="K17" s="5">
        <f>+IF($C$3&lt;=E17,IF($C$3&gt;D17,1,0),0)</f>
        <v>0</v>
      </c>
      <c r="L17" s="4">
        <f>+IF(C$3&gt;E17,0,IF((C$3-D17)&lt;0,0,(C$3-D17)))</f>
        <v>0</v>
      </c>
      <c r="M17" s="30">
        <f>+K17*J16+L17*G17</f>
        <v>0</v>
      </c>
    </row>
    <row r="18" spans="2:15">
      <c r="D18" s="3">
        <f>+Prinicpios!D18</f>
        <v>23792</v>
      </c>
      <c r="E18" s="4">
        <f>+Prinicpios!E18</f>
        <v>52840</v>
      </c>
      <c r="F18" s="5"/>
      <c r="G18" s="6">
        <f>+Prinicpios!G18</f>
        <v>0.14000000000000001</v>
      </c>
      <c r="H18" s="5"/>
      <c r="I18" s="4">
        <f>+(E18-D18)*G18</f>
        <v>4066.7200000000003</v>
      </c>
      <c r="J18" s="4">
        <f>+J17+I18</f>
        <v>4719.3500000000004</v>
      </c>
      <c r="K18" s="5">
        <f>+IF($C$3&lt;=E18,IF($C$3&gt;D18,1,0),0)</f>
        <v>0</v>
      </c>
      <c r="L18" s="4">
        <f>+IF(C$3&gt;E18,0,IF((C$3-D18)&lt;0,0,(C$3-D18)))</f>
        <v>0</v>
      </c>
      <c r="M18" s="30">
        <f>+K18*J17+L18*G18</f>
        <v>0</v>
      </c>
    </row>
    <row r="19" spans="2:15">
      <c r="D19" s="3">
        <f>+Prinicpios!D19</f>
        <v>52840</v>
      </c>
      <c r="E19" s="4">
        <f>+Prinicpios!E19</f>
        <v>141660</v>
      </c>
      <c r="F19" s="5"/>
      <c r="G19" s="6">
        <f>+Prinicpios!G19</f>
        <v>0.3</v>
      </c>
      <c r="H19" s="5"/>
      <c r="I19" s="4">
        <f>+(E19-D19)*G19</f>
        <v>26646</v>
      </c>
      <c r="J19" s="4">
        <f>+J18+I19</f>
        <v>31365.35</v>
      </c>
      <c r="K19" s="5">
        <f>+IF($C$3&lt;=E19,IF($C$3&gt;D19,1,0),0)</f>
        <v>0</v>
      </c>
      <c r="L19" s="4">
        <f>+IF(C$3&gt;E19,0,IF((C$3-D19)&lt;0,0,(C$3-D19)))</f>
        <v>0</v>
      </c>
      <c r="M19" s="30">
        <f>+K19*J18+L19*G19</f>
        <v>0</v>
      </c>
    </row>
    <row r="20" spans="2:15">
      <c r="D20" s="7">
        <f>+Prinicpios!D20</f>
        <v>141660</v>
      </c>
      <c r="E20" s="8">
        <f>+Prinicpios!E20</f>
        <v>10000000</v>
      </c>
      <c r="F20" s="9"/>
      <c r="G20" s="10">
        <f>+Prinicpios!G20</f>
        <v>0.41</v>
      </c>
      <c r="H20" s="9"/>
      <c r="I20" s="8">
        <f>+(E20-D20)*G20</f>
        <v>4041919.4</v>
      </c>
      <c r="J20" s="8"/>
      <c r="K20" s="9">
        <f>+IF($C$3&lt;=E20,IF($C$3&gt;D20,1,0),0)</f>
        <v>1</v>
      </c>
      <c r="L20" s="8">
        <f>+IF(C$3&gt;E20,0,IF((C$3-D20)&lt;0,0,(C$3-D20)))</f>
        <v>21168.011543057859</v>
      </c>
      <c r="M20" s="31">
        <f>+K20*J19+L20*G20</f>
        <v>40044.23473265372</v>
      </c>
    </row>
    <row r="21" spans="2:15">
      <c r="M21" s="31">
        <f>SUM(M16:M20)</f>
        <v>40044.23473265372</v>
      </c>
    </row>
    <row r="23" spans="2:15">
      <c r="B23" s="20" t="s">
        <v>17</v>
      </c>
    </row>
    <row r="24" spans="2:15">
      <c r="E24" t="s">
        <v>14</v>
      </c>
      <c r="F24" s="2" t="s">
        <v>15</v>
      </c>
      <c r="G24" t="s">
        <v>16</v>
      </c>
    </row>
    <row r="25" spans="2:15">
      <c r="D25" s="1">
        <f>+Prinicpios!D25</f>
        <v>2336</v>
      </c>
      <c r="E25">
        <f>+C7</f>
        <v>4</v>
      </c>
      <c r="F25">
        <f>+(E25-2)*2</f>
        <v>4</v>
      </c>
      <c r="G25">
        <f>+F25*D25</f>
        <v>9344</v>
      </c>
    </row>
    <row r="28" spans="2:15">
      <c r="B28" s="17"/>
      <c r="C28" s="16" t="s">
        <v>19</v>
      </c>
      <c r="D28" s="12">
        <f>+C15</f>
        <v>2</v>
      </c>
      <c r="E28" s="12" t="s">
        <v>14</v>
      </c>
      <c r="F28" s="18">
        <f>+M21</f>
        <v>40044.23473265372</v>
      </c>
    </row>
    <row r="29" spans="2:15">
      <c r="D29" s="15" t="s">
        <v>23</v>
      </c>
      <c r="E29" s="19"/>
      <c r="F29" s="18">
        <f>+G25</f>
        <v>9344</v>
      </c>
      <c r="O29" t="s">
        <v>25</v>
      </c>
    </row>
    <row r="30" spans="2:15">
      <c r="D30" s="15" t="s">
        <v>18</v>
      </c>
      <c r="E30" s="19"/>
      <c r="F30" s="18">
        <f>+F28-F29</f>
        <v>30700.23473265372</v>
      </c>
      <c r="G30" s="2" t="s">
        <v>20</v>
      </c>
    </row>
    <row r="31" spans="2:15">
      <c r="H31" s="21" t="s">
        <v>22</v>
      </c>
      <c r="I31" s="22"/>
      <c r="J31" s="22"/>
      <c r="K31" s="23">
        <f>MAX(F30,F32)</f>
        <v>30700.23473265372</v>
      </c>
    </row>
    <row r="32" spans="2:15">
      <c r="B32" s="17"/>
      <c r="C32" s="16" t="s">
        <v>19</v>
      </c>
      <c r="D32" s="12">
        <f>+C7</f>
        <v>4</v>
      </c>
      <c r="E32" s="12" t="s">
        <v>14</v>
      </c>
      <c r="F32" s="18">
        <f>+M13</f>
        <v>26583.102999999999</v>
      </c>
      <c r="G32" s="2" t="s">
        <v>21</v>
      </c>
    </row>
    <row r="40" spans="2:12">
      <c r="B40" s="32" t="s">
        <v>7</v>
      </c>
      <c r="C40" s="42">
        <v>0</v>
      </c>
      <c r="D40" s="33">
        <v>11704</v>
      </c>
      <c r="E40" s="33">
        <v>23408</v>
      </c>
      <c r="F40" s="33">
        <v>46692</v>
      </c>
      <c r="G40" s="35">
        <v>51852</v>
      </c>
      <c r="H40" s="33">
        <v>103704</v>
      </c>
      <c r="I40" s="33">
        <v>139010</v>
      </c>
      <c r="J40" s="35">
        <v>278020</v>
      </c>
      <c r="K40" s="33">
        <v>300000</v>
      </c>
      <c r="L40" s="34">
        <v>350000</v>
      </c>
    </row>
    <row r="41" spans="2:12">
      <c r="B41" s="39" t="s">
        <v>26</v>
      </c>
      <c r="C41" s="50">
        <v>0</v>
      </c>
      <c r="D41" s="51">
        <v>0</v>
      </c>
      <c r="E41" s="51">
        <v>648.99</v>
      </c>
      <c r="F41" s="51">
        <v>3908.75</v>
      </c>
      <c r="G41" s="51">
        <v>4631.1499999999996</v>
      </c>
      <c r="H41" s="51">
        <v>20186.75</v>
      </c>
      <c r="I41" s="51">
        <v>30778.55</v>
      </c>
      <c r="J41" s="51">
        <v>86382.55</v>
      </c>
      <c r="K41" s="51">
        <v>95174.55</v>
      </c>
      <c r="L41" s="52">
        <v>115174.55</v>
      </c>
    </row>
    <row r="42" spans="2:12">
      <c r="B42" s="40" t="s">
        <v>29</v>
      </c>
      <c r="C42" s="50">
        <v>0</v>
      </c>
      <c r="D42" s="51">
        <v>0</v>
      </c>
      <c r="E42" s="51">
        <v>0</v>
      </c>
      <c r="F42" s="51">
        <v>1280.6199999999999</v>
      </c>
      <c r="G42" s="51">
        <v>2003.02</v>
      </c>
      <c r="H42" s="51">
        <v>9262.2999999999993</v>
      </c>
      <c r="I42" s="51">
        <v>19854.099999999999</v>
      </c>
      <c r="J42" s="51">
        <v>61557.1</v>
      </c>
      <c r="K42" s="51">
        <v>70349.100000000006</v>
      </c>
      <c r="L42" s="52">
        <v>90349.1</v>
      </c>
    </row>
    <row r="43" spans="2:12">
      <c r="B43" s="41" t="s">
        <v>8</v>
      </c>
      <c r="C43" s="53">
        <f t="shared" ref="C43:L43" si="0">+MAX(C41-$F$29,C42)</f>
        <v>0</v>
      </c>
      <c r="D43" s="54">
        <f t="shared" si="0"/>
        <v>0</v>
      </c>
      <c r="E43" s="54">
        <f t="shared" si="0"/>
        <v>0</v>
      </c>
      <c r="F43" s="54">
        <f t="shared" si="0"/>
        <v>1280.6199999999999</v>
      </c>
      <c r="G43" s="54">
        <f t="shared" si="0"/>
        <v>2003.02</v>
      </c>
      <c r="H43" s="54">
        <f t="shared" si="0"/>
        <v>10842.75</v>
      </c>
      <c r="I43" s="54">
        <f t="shared" si="0"/>
        <v>21434.55</v>
      </c>
      <c r="J43" s="54">
        <f t="shared" si="0"/>
        <v>77038.55</v>
      </c>
      <c r="K43" s="54">
        <f t="shared" si="0"/>
        <v>85830.55</v>
      </c>
      <c r="L43" s="55">
        <f t="shared" si="0"/>
        <v>105830.55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2:R95"/>
  <sheetViews>
    <sheetView showGridLines="0" topLeftCell="A41" workbookViewId="0">
      <selection activeCell="A140" sqref="A140"/>
    </sheetView>
  </sheetViews>
  <sheetFormatPr baseColWidth="10" defaultRowHeight="12.75"/>
  <cols>
    <col min="1" max="1" width="11.42578125" style="71"/>
    <col min="2" max="2" width="3" style="72" customWidth="1"/>
    <col min="3" max="3" width="4.7109375" style="72" customWidth="1"/>
    <col min="4" max="4" width="6.5703125" style="71" customWidth="1"/>
    <col min="5" max="5" width="23.85546875" style="71" bestFit="1" customWidth="1"/>
    <col min="6" max="6" width="12.5703125" style="71" customWidth="1"/>
    <col min="7" max="7" width="11.7109375" style="71" bestFit="1" customWidth="1"/>
    <col min="8" max="10" width="11.42578125" style="71"/>
    <col min="11" max="11" width="4" style="71" customWidth="1"/>
    <col min="12" max="12" width="27.85546875" style="71" bestFit="1" customWidth="1"/>
    <col min="13" max="13" width="4.42578125" style="71" customWidth="1"/>
    <col min="14" max="14" width="22.7109375" style="71" bestFit="1" customWidth="1"/>
    <col min="15" max="16" width="11.42578125" style="71"/>
    <col min="17" max="17" width="5.7109375" style="71" customWidth="1"/>
    <col min="18" max="16384" width="11.42578125" style="71"/>
  </cols>
  <sheetData>
    <row r="2" spans="2:13">
      <c r="B2" s="72" t="s">
        <v>51</v>
      </c>
    </row>
    <row r="4" spans="2:13">
      <c r="C4" s="72">
        <v>1.1000000000000001</v>
      </c>
      <c r="D4" s="71" t="s">
        <v>65</v>
      </c>
    </row>
    <row r="5" spans="2:13" s="73" customFormat="1" ht="25.5">
      <c r="B5" s="74"/>
      <c r="C5" s="74"/>
      <c r="F5" s="113" t="s">
        <v>57</v>
      </c>
      <c r="G5" s="114" t="s">
        <v>58</v>
      </c>
      <c r="H5" s="114" t="s">
        <v>60</v>
      </c>
      <c r="I5" s="114" t="s">
        <v>59</v>
      </c>
      <c r="J5" s="115" t="s">
        <v>50</v>
      </c>
    </row>
    <row r="6" spans="2:13">
      <c r="D6" s="119" t="s">
        <v>52</v>
      </c>
      <c r="E6" s="104" t="s">
        <v>54</v>
      </c>
      <c r="F6" s="116">
        <v>0</v>
      </c>
      <c r="G6" s="105">
        <v>0</v>
      </c>
      <c r="H6" s="105">
        <v>0</v>
      </c>
      <c r="I6" s="105">
        <v>0</v>
      </c>
      <c r="J6" s="106">
        <f>+F6-G6-I6</f>
        <v>0</v>
      </c>
      <c r="M6" s="73"/>
    </row>
    <row r="7" spans="2:13">
      <c r="D7" s="120" t="s">
        <v>52</v>
      </c>
      <c r="E7" s="107" t="s">
        <v>53</v>
      </c>
      <c r="F7" s="117">
        <v>0</v>
      </c>
      <c r="G7" s="108">
        <v>0</v>
      </c>
      <c r="H7" s="108">
        <v>0</v>
      </c>
      <c r="I7" s="108">
        <v>0</v>
      </c>
      <c r="J7" s="109">
        <f>+F7-G7-I7</f>
        <v>0</v>
      </c>
      <c r="M7" s="73"/>
    </row>
    <row r="8" spans="2:13">
      <c r="D8" s="120" t="s">
        <v>56</v>
      </c>
      <c r="E8" s="107" t="s">
        <v>84</v>
      </c>
      <c r="F8" s="117">
        <v>0</v>
      </c>
      <c r="G8" s="108">
        <v>0</v>
      </c>
      <c r="H8" s="108">
        <v>0</v>
      </c>
      <c r="I8" s="108">
        <v>0</v>
      </c>
      <c r="J8" s="109">
        <f>+F8-G8-I8</f>
        <v>0</v>
      </c>
      <c r="M8" s="73"/>
    </row>
    <row r="9" spans="2:13">
      <c r="D9" s="121" t="s">
        <v>56</v>
      </c>
      <c r="E9" s="110" t="s">
        <v>55</v>
      </c>
      <c r="F9" s="118">
        <v>0</v>
      </c>
      <c r="G9" s="111">
        <v>0</v>
      </c>
      <c r="H9" s="111">
        <v>0</v>
      </c>
      <c r="I9" s="111">
        <v>0</v>
      </c>
      <c r="J9" s="112">
        <f>+F9-G9-I9</f>
        <v>0</v>
      </c>
    </row>
    <row r="10" spans="2:13">
      <c r="E10" s="110" t="s">
        <v>32</v>
      </c>
      <c r="F10" s="118">
        <f>SUM(F6:F9)</f>
        <v>0</v>
      </c>
      <c r="G10" s="111">
        <f>SUM(G6:G9)</f>
        <v>0</v>
      </c>
      <c r="H10" s="111">
        <f>SUM(H6:H9)</f>
        <v>0</v>
      </c>
      <c r="I10" s="111">
        <f>SUM(I6:I9)</f>
        <v>0</v>
      </c>
      <c r="J10" s="112">
        <f>SUM(J6:J9)</f>
        <v>0</v>
      </c>
    </row>
    <row r="11" spans="2:13">
      <c r="G11" s="75"/>
      <c r="H11" s="75"/>
      <c r="I11" s="75"/>
      <c r="J11" s="75"/>
    </row>
    <row r="13" spans="2:13">
      <c r="C13" s="72">
        <v>1.2</v>
      </c>
      <c r="D13" s="71" t="s">
        <v>64</v>
      </c>
    </row>
    <row r="15" spans="2:13" s="76" customFormat="1" hidden="1">
      <c r="B15" s="77"/>
      <c r="C15" s="77"/>
      <c r="E15" s="78" t="s">
        <v>38</v>
      </c>
      <c r="F15" s="79" t="s">
        <v>39</v>
      </c>
      <c r="G15" s="80" t="s">
        <v>40</v>
      </c>
      <c r="H15" s="81" t="s">
        <v>41</v>
      </c>
    </row>
    <row r="16" spans="2:13" s="76" customFormat="1" hidden="1">
      <c r="B16" s="77"/>
      <c r="C16" s="77"/>
      <c r="E16" s="82" t="s">
        <v>42</v>
      </c>
      <c r="F16" s="83"/>
      <c r="G16" s="84"/>
      <c r="H16" s="203">
        <v>600000</v>
      </c>
    </row>
    <row r="17" spans="2:8" s="76" customFormat="1" hidden="1">
      <c r="B17" s="77"/>
      <c r="C17" s="77"/>
      <c r="E17" s="86" t="s">
        <v>43</v>
      </c>
      <c r="F17" s="87"/>
      <c r="G17" s="88"/>
      <c r="H17" s="204">
        <v>73249.357999999993</v>
      </c>
    </row>
    <row r="18" spans="2:8" s="76" customFormat="1" ht="15.75" hidden="1">
      <c r="B18" s="77"/>
      <c r="C18" s="77"/>
      <c r="E18" s="86" t="s">
        <v>116</v>
      </c>
      <c r="F18" s="87">
        <f>F22/12</f>
        <v>17861.740000000002</v>
      </c>
      <c r="G18" s="205">
        <v>5</v>
      </c>
      <c r="H18" s="89">
        <f>F18*G18</f>
        <v>89308.700000000012</v>
      </c>
    </row>
    <row r="19" spans="2:8" s="76" customFormat="1" hidden="1">
      <c r="B19" s="77"/>
      <c r="C19" s="77"/>
      <c r="E19" s="86" t="s">
        <v>117</v>
      </c>
      <c r="F19" s="207">
        <v>-17133</v>
      </c>
      <c r="G19" s="205">
        <v>2</v>
      </c>
      <c r="H19" s="89">
        <f>+G19*F19</f>
        <v>-34266</v>
      </c>
    </row>
    <row r="20" spans="2:8" s="76" customFormat="1" ht="15.75" hidden="1">
      <c r="B20" s="77"/>
      <c r="C20" s="77"/>
      <c r="E20" s="86" t="s">
        <v>61</v>
      </c>
      <c r="F20" s="87"/>
      <c r="G20" s="206">
        <v>0.1</v>
      </c>
      <c r="H20" s="89">
        <f>+G20*H18</f>
        <v>8930.8700000000008</v>
      </c>
    </row>
    <row r="21" spans="2:8" s="76" customFormat="1" ht="15.75" hidden="1">
      <c r="B21" s="77"/>
      <c r="C21" s="77"/>
      <c r="E21" s="86" t="s">
        <v>62</v>
      </c>
      <c r="F21" s="87"/>
      <c r="G21" s="91"/>
      <c r="H21" s="89">
        <v>0</v>
      </c>
    </row>
    <row r="22" spans="2:8" s="76" customFormat="1" ht="15.75" hidden="1">
      <c r="B22" s="77"/>
      <c r="C22" s="77"/>
      <c r="E22" s="92" t="s">
        <v>63</v>
      </c>
      <c r="F22" s="208">
        <v>214340.88</v>
      </c>
      <c r="G22" s="94">
        <f>0.35/2</f>
        <v>0.17499999999999999</v>
      </c>
      <c r="H22" s="95">
        <f>+F22*G22</f>
        <v>37509.653999999995</v>
      </c>
    </row>
    <row r="23" spans="2:8" s="76" customFormat="1" hidden="1">
      <c r="B23" s="77"/>
      <c r="C23" s="77"/>
      <c r="E23" s="96" t="s">
        <v>44</v>
      </c>
      <c r="F23" s="97"/>
      <c r="G23" s="98"/>
      <c r="H23" s="99">
        <f>SUM(H16:H22)</f>
        <v>774732.58199999994</v>
      </c>
    </row>
    <row r="24" spans="2:8" s="76" customFormat="1" hidden="1">
      <c r="B24" s="77"/>
      <c r="C24" s="77"/>
      <c r="E24" s="88"/>
      <c r="F24" s="87"/>
      <c r="G24" s="88"/>
      <c r="H24" s="87"/>
    </row>
    <row r="25" spans="2:8" s="76" customFormat="1" hidden="1">
      <c r="B25" s="77"/>
      <c r="C25" s="77"/>
      <c r="E25" s="88"/>
      <c r="F25" s="79" t="s">
        <v>39</v>
      </c>
      <c r="G25" s="80" t="s">
        <v>45</v>
      </c>
      <c r="H25" s="99" t="s">
        <v>46</v>
      </c>
    </row>
    <row r="26" spans="2:8" s="76" customFormat="1" hidden="1">
      <c r="B26" s="77"/>
      <c r="C26" s="77"/>
      <c r="E26" s="82" t="s">
        <v>47</v>
      </c>
      <c r="F26" s="83">
        <f>+H23*0.97</f>
        <v>751490.60453999997</v>
      </c>
      <c r="G26" s="100">
        <v>5.0999999999999997E-2</v>
      </c>
      <c r="H26" s="85">
        <f>+F26*G26</f>
        <v>38326.020831539994</v>
      </c>
    </row>
    <row r="27" spans="2:8" s="76" customFormat="1" hidden="1">
      <c r="B27" s="77"/>
      <c r="C27" s="77"/>
      <c r="E27" s="92" t="s">
        <v>48</v>
      </c>
      <c r="F27" s="93">
        <f>H23*0.97</f>
        <v>751490.60453999997</v>
      </c>
      <c r="G27" s="101">
        <v>2.9000000000000001E-2</v>
      </c>
      <c r="H27" s="95">
        <f>+F27*G27</f>
        <v>21793.227531659999</v>
      </c>
    </row>
    <row r="28" spans="2:8" s="76" customFormat="1" hidden="1">
      <c r="B28" s="77"/>
      <c r="C28" s="77"/>
      <c r="E28" s="96" t="s">
        <v>49</v>
      </c>
      <c r="F28" s="102"/>
      <c r="G28" s="98"/>
      <c r="H28" s="99">
        <f>SUM(H26:H27)</f>
        <v>60119.248363199993</v>
      </c>
    </row>
    <row r="29" spans="2:8" s="76" customFormat="1">
      <c r="B29" s="77"/>
      <c r="C29" s="77"/>
      <c r="E29" s="88"/>
      <c r="F29" s="87"/>
      <c r="G29" s="88"/>
      <c r="H29" s="87"/>
    </row>
    <row r="30" spans="2:8" s="76" customFormat="1">
      <c r="B30" s="77"/>
      <c r="C30" s="77"/>
      <c r="E30" s="96" t="s">
        <v>50</v>
      </c>
      <c r="F30" s="102"/>
      <c r="G30" s="98"/>
      <c r="H30" s="103">
        <f>+H23-H28</f>
        <v>714613.33363679994</v>
      </c>
    </row>
    <row r="34" spans="3:18" ht="25.5">
      <c r="F34" s="113" t="s">
        <v>57</v>
      </c>
      <c r="G34" s="114" t="s">
        <v>58</v>
      </c>
      <c r="H34" s="114" t="s">
        <v>60</v>
      </c>
      <c r="I34" s="114" t="s">
        <v>59</v>
      </c>
      <c r="J34" s="115" t="s">
        <v>50</v>
      </c>
    </row>
    <row r="35" spans="3:18">
      <c r="D35" s="119" t="s">
        <v>56</v>
      </c>
      <c r="E35" s="126" t="s">
        <v>118</v>
      </c>
      <c r="F35" s="200">
        <f>+'2010'!F35</f>
        <v>7968.53</v>
      </c>
      <c r="G35" s="105">
        <f>+'2010'!G35</f>
        <v>0</v>
      </c>
      <c r="H35" s="105">
        <f>+'2010'!H35</f>
        <v>0</v>
      </c>
      <c r="I35" s="105">
        <f>+'2010'!I35</f>
        <v>0</v>
      </c>
      <c r="J35" s="106">
        <f>+'2010'!J35</f>
        <v>7968.53</v>
      </c>
    </row>
    <row r="36" spans="3:18">
      <c r="D36" s="120" t="s">
        <v>56</v>
      </c>
      <c r="E36" s="125" t="s">
        <v>66</v>
      </c>
      <c r="F36" s="201">
        <f>+'2010'!F36</f>
        <v>199751.47</v>
      </c>
      <c r="G36" s="108">
        <f>+'2010'!G36</f>
        <v>15500.714072000001</v>
      </c>
      <c r="H36" s="108">
        <f>+'2010'!H36</f>
        <v>0</v>
      </c>
      <c r="I36" s="108">
        <f>+'2010'!I36</f>
        <v>0</v>
      </c>
      <c r="J36" s="109">
        <f>+'2010'!J36</f>
        <v>184250.755928</v>
      </c>
    </row>
    <row r="37" spans="3:18">
      <c r="D37" s="121" t="s">
        <v>56</v>
      </c>
      <c r="E37" s="127" t="s">
        <v>67</v>
      </c>
      <c r="F37" s="118">
        <f>+'2010'!F37</f>
        <v>572628.53</v>
      </c>
      <c r="G37" s="111">
        <f>+'2010'!G37</f>
        <v>50234.485927999995</v>
      </c>
      <c r="H37" s="111">
        <f>+'2010'!H37</f>
        <v>528620.38</v>
      </c>
      <c r="I37" s="111">
        <f>+'2010'!I37</f>
        <v>0</v>
      </c>
      <c r="J37" s="112">
        <f>+'2010'!J37</f>
        <v>522394.04770879995</v>
      </c>
    </row>
    <row r="38" spans="3:18">
      <c r="E38" s="128" t="s">
        <v>32</v>
      </c>
      <c r="F38" s="129">
        <f>+'2010'!F38</f>
        <v>780348.53</v>
      </c>
      <c r="G38" s="130">
        <f>+'2010'!G38</f>
        <v>65735.199999999997</v>
      </c>
      <c r="H38" s="130">
        <f>+'2010'!H38</f>
        <v>528620.38</v>
      </c>
      <c r="I38" s="130">
        <f>+'2010'!I38</f>
        <v>0</v>
      </c>
      <c r="J38" s="131">
        <f>+'2010'!J38</f>
        <v>714613.33363679994</v>
      </c>
    </row>
    <row r="39" spans="3:18">
      <c r="C39" s="71"/>
      <c r="E39" s="132">
        <v>2010</v>
      </c>
      <c r="F39" s="117">
        <f>+'2010'!F39</f>
        <v>780348.53</v>
      </c>
      <c r="G39" s="108">
        <f>+'2010'!G39</f>
        <v>65735.199999999997</v>
      </c>
      <c r="H39" s="108">
        <f>+'2010'!H39</f>
        <v>528620.38</v>
      </c>
      <c r="I39" s="108">
        <f>+'2010'!I39</f>
        <v>0</v>
      </c>
      <c r="J39" s="109">
        <f>+'2010'!J39</f>
        <v>714613.33363679994</v>
      </c>
    </row>
    <row r="40" spans="3:18">
      <c r="E40" s="133">
        <v>2011</v>
      </c>
      <c r="F40" s="118">
        <f>+'2010'!F40</f>
        <v>0</v>
      </c>
      <c r="G40" s="111">
        <f>+'2010'!G40</f>
        <v>0</v>
      </c>
      <c r="H40" s="111">
        <f>+'2010'!H40</f>
        <v>0</v>
      </c>
      <c r="I40" s="111">
        <f>+'2010'!I40</f>
        <v>0</v>
      </c>
      <c r="J40" s="202">
        <f>+'2010'!J40</f>
        <v>0</v>
      </c>
    </row>
    <row r="41" spans="3:18">
      <c r="G41" s="108"/>
    </row>
    <row r="44" spans="3:18">
      <c r="C44" s="72">
        <v>1.3</v>
      </c>
      <c r="D44" s="71" t="s">
        <v>114</v>
      </c>
    </row>
    <row r="45" spans="3:18" ht="25.5">
      <c r="C45" s="74"/>
      <c r="D45" s="73"/>
      <c r="E45" s="73"/>
      <c r="F45" s="122" t="s">
        <v>57</v>
      </c>
      <c r="G45" s="123" t="s">
        <v>58</v>
      </c>
      <c r="H45" s="123" t="s">
        <v>60</v>
      </c>
      <c r="I45" s="123" t="s">
        <v>59</v>
      </c>
      <c r="J45" s="124" t="s">
        <v>50</v>
      </c>
    </row>
    <row r="46" spans="3:18">
      <c r="C46" s="74"/>
      <c r="D46" s="73">
        <v>31</v>
      </c>
      <c r="E46" s="195" t="s">
        <v>139</v>
      </c>
      <c r="F46" s="196">
        <f>+D46*$O$46</f>
        <v>6750.87</v>
      </c>
      <c r="G46" s="197">
        <f>+F46-H46</f>
        <v>768.48999999999887</v>
      </c>
      <c r="H46" s="197">
        <f>+D46*$O$52</f>
        <v>5982.380000000001</v>
      </c>
      <c r="I46" s="197">
        <v>0</v>
      </c>
      <c r="J46" s="198">
        <f>+F46-G46-I46</f>
        <v>5982.380000000001</v>
      </c>
      <c r="N46" s="104" t="s">
        <v>127</v>
      </c>
      <c r="O46" s="190">
        <v>217.77</v>
      </c>
      <c r="P46" s="183" t="s">
        <v>128</v>
      </c>
      <c r="Q46" s="183"/>
      <c r="R46" s="184"/>
    </row>
    <row r="47" spans="3:18">
      <c r="C47" s="74"/>
      <c r="D47" s="73">
        <v>31</v>
      </c>
      <c r="E47" s="135" t="s">
        <v>54</v>
      </c>
      <c r="F47" s="117">
        <f t="shared" ref="F47:F57" si="0">+D47*$O$46</f>
        <v>6750.87</v>
      </c>
      <c r="G47" s="108">
        <f t="shared" ref="G47:G57" si="1">+F47-H47</f>
        <v>768.48999999999887</v>
      </c>
      <c r="H47" s="108">
        <f t="shared" ref="H47:H57" si="2">+D47*$O$52</f>
        <v>5982.380000000001</v>
      </c>
      <c r="I47" s="108">
        <v>0</v>
      </c>
      <c r="J47" s="109">
        <f t="shared" ref="J47:J57" si="3">+F47-G47-I47</f>
        <v>5982.380000000001</v>
      </c>
      <c r="N47" s="107" t="s">
        <v>133</v>
      </c>
      <c r="O47" s="191">
        <v>379.39</v>
      </c>
      <c r="P47" s="147"/>
      <c r="Q47" s="147"/>
      <c r="R47" s="178" t="s">
        <v>134</v>
      </c>
    </row>
    <row r="48" spans="3:18">
      <c r="C48" s="74"/>
      <c r="D48" s="73">
        <v>28</v>
      </c>
      <c r="E48" s="135" t="s">
        <v>84</v>
      </c>
      <c r="F48" s="117">
        <f t="shared" si="0"/>
        <v>6097.56</v>
      </c>
      <c r="G48" s="108">
        <f t="shared" si="1"/>
        <v>694.11999999999989</v>
      </c>
      <c r="H48" s="108">
        <f t="shared" si="2"/>
        <v>5403.4400000000005</v>
      </c>
      <c r="I48" s="108">
        <v>0</v>
      </c>
      <c r="J48" s="109">
        <f t="shared" si="3"/>
        <v>5403.4400000000005</v>
      </c>
      <c r="N48" s="107" t="s">
        <v>129</v>
      </c>
      <c r="O48" s="185">
        <v>0.03</v>
      </c>
      <c r="P48" s="147" t="s">
        <v>135</v>
      </c>
      <c r="Q48" s="147"/>
      <c r="R48" s="178">
        <f>ROUND(+O47*O48,2)</f>
        <v>11.38</v>
      </c>
    </row>
    <row r="49" spans="3:18">
      <c r="C49" s="74"/>
      <c r="D49" s="73">
        <v>31</v>
      </c>
      <c r="E49" s="135" t="s">
        <v>55</v>
      </c>
      <c r="F49" s="117">
        <f t="shared" si="0"/>
        <v>6750.87</v>
      </c>
      <c r="G49" s="108">
        <f t="shared" si="1"/>
        <v>768.48999999999887</v>
      </c>
      <c r="H49" s="108">
        <f t="shared" si="2"/>
        <v>5982.380000000001</v>
      </c>
      <c r="I49" s="108">
        <v>0</v>
      </c>
      <c r="J49" s="109">
        <f t="shared" si="3"/>
        <v>5982.380000000001</v>
      </c>
      <c r="N49" s="107" t="s">
        <v>136</v>
      </c>
      <c r="O49" s="147">
        <f>+O46-R48</f>
        <v>206.39000000000001</v>
      </c>
      <c r="P49" s="147"/>
      <c r="Q49" s="147"/>
      <c r="R49" s="178"/>
    </row>
    <row r="50" spans="3:18">
      <c r="C50" s="74"/>
      <c r="D50" s="73">
        <v>30</v>
      </c>
      <c r="E50" s="135" t="s">
        <v>85</v>
      </c>
      <c r="F50" s="117">
        <f t="shared" si="0"/>
        <v>6533.1</v>
      </c>
      <c r="G50" s="108">
        <f t="shared" si="1"/>
        <v>743.69999999999982</v>
      </c>
      <c r="H50" s="108">
        <f t="shared" si="2"/>
        <v>5789.4000000000005</v>
      </c>
      <c r="I50" s="108">
        <v>0</v>
      </c>
      <c r="J50" s="109">
        <f t="shared" si="3"/>
        <v>5789.4000000000005</v>
      </c>
      <c r="N50" s="107" t="s">
        <v>131</v>
      </c>
      <c r="O50" s="186">
        <v>6.2E-2</v>
      </c>
      <c r="P50" s="185">
        <v>0.97</v>
      </c>
      <c r="Q50" s="193" t="s">
        <v>130</v>
      </c>
      <c r="R50" s="178">
        <f>++ROUND(P50*O50*$O$49,2)</f>
        <v>12.41</v>
      </c>
    </row>
    <row r="51" spans="3:18">
      <c r="D51" s="73">
        <v>31</v>
      </c>
      <c r="E51" s="135" t="s">
        <v>86</v>
      </c>
      <c r="F51" s="117">
        <f t="shared" si="0"/>
        <v>6750.87</v>
      </c>
      <c r="G51" s="108">
        <f t="shared" si="1"/>
        <v>768.48999999999887</v>
      </c>
      <c r="H51" s="108">
        <f t="shared" si="2"/>
        <v>5982.380000000001</v>
      </c>
      <c r="I51" s="108">
        <v>0</v>
      </c>
      <c r="J51" s="109">
        <f t="shared" si="3"/>
        <v>5982.380000000001</v>
      </c>
      <c r="N51" s="110" t="s">
        <v>132</v>
      </c>
      <c r="O51" s="187">
        <v>5.0000000000000001E-3</v>
      </c>
      <c r="P51" s="188">
        <v>0.97</v>
      </c>
      <c r="Q51" s="194" t="s">
        <v>130</v>
      </c>
      <c r="R51" s="189">
        <f>ROUND(+P51*O51*$O$49,2)</f>
        <v>1</v>
      </c>
    </row>
    <row r="52" spans="3:18">
      <c r="D52" s="73">
        <v>30</v>
      </c>
      <c r="E52" s="135" t="s">
        <v>68</v>
      </c>
      <c r="F52" s="117">
        <f t="shared" si="0"/>
        <v>6533.1</v>
      </c>
      <c r="G52" s="108">
        <f t="shared" si="1"/>
        <v>743.69999999999982</v>
      </c>
      <c r="H52" s="108">
        <f t="shared" si="2"/>
        <v>5789.4000000000005</v>
      </c>
      <c r="I52" s="108">
        <v>0</v>
      </c>
      <c r="J52" s="109">
        <f t="shared" si="3"/>
        <v>5789.4000000000005</v>
      </c>
      <c r="N52" s="110" t="s">
        <v>137</v>
      </c>
      <c r="O52" s="180">
        <f>+O49-R50-R51</f>
        <v>192.98000000000002</v>
      </c>
    </row>
    <row r="53" spans="3:18">
      <c r="D53" s="73">
        <v>31</v>
      </c>
      <c r="E53" s="135" t="s">
        <v>69</v>
      </c>
      <c r="F53" s="117">
        <f t="shared" si="0"/>
        <v>6750.87</v>
      </c>
      <c r="G53" s="108">
        <f t="shared" si="1"/>
        <v>768.48999999999887</v>
      </c>
      <c r="H53" s="108">
        <f t="shared" si="2"/>
        <v>5982.380000000001</v>
      </c>
      <c r="I53" s="108">
        <v>0</v>
      </c>
      <c r="J53" s="109">
        <f t="shared" si="3"/>
        <v>5982.380000000001</v>
      </c>
    </row>
    <row r="54" spans="3:18">
      <c r="D54" s="73">
        <v>31</v>
      </c>
      <c r="E54" s="135" t="s">
        <v>70</v>
      </c>
      <c r="F54" s="117">
        <f t="shared" si="0"/>
        <v>6750.87</v>
      </c>
      <c r="G54" s="108">
        <f t="shared" si="1"/>
        <v>768.48999999999887</v>
      </c>
      <c r="H54" s="108">
        <f t="shared" si="2"/>
        <v>5982.380000000001</v>
      </c>
      <c r="I54" s="108">
        <v>0</v>
      </c>
      <c r="J54" s="109">
        <f t="shared" si="3"/>
        <v>5982.380000000001</v>
      </c>
    </row>
    <row r="55" spans="3:18">
      <c r="D55" s="73">
        <v>30</v>
      </c>
      <c r="E55" s="135" t="s">
        <v>71</v>
      </c>
      <c r="F55" s="117">
        <f t="shared" si="0"/>
        <v>6533.1</v>
      </c>
      <c r="G55" s="108">
        <f t="shared" si="1"/>
        <v>743.69999999999982</v>
      </c>
      <c r="H55" s="108">
        <f t="shared" si="2"/>
        <v>5789.4000000000005</v>
      </c>
      <c r="I55" s="108">
        <v>0</v>
      </c>
      <c r="J55" s="109">
        <f t="shared" si="3"/>
        <v>5789.4000000000005</v>
      </c>
    </row>
    <row r="56" spans="3:18">
      <c r="D56" s="73">
        <v>31</v>
      </c>
      <c r="E56" s="135" t="s">
        <v>72</v>
      </c>
      <c r="F56" s="117">
        <f t="shared" si="0"/>
        <v>6750.87</v>
      </c>
      <c r="G56" s="108">
        <f t="shared" si="1"/>
        <v>768.48999999999887</v>
      </c>
      <c r="H56" s="108">
        <f t="shared" si="2"/>
        <v>5982.380000000001</v>
      </c>
      <c r="I56" s="108">
        <v>0</v>
      </c>
      <c r="J56" s="109">
        <f t="shared" si="3"/>
        <v>5982.380000000001</v>
      </c>
    </row>
    <row r="57" spans="3:18">
      <c r="D57" s="73">
        <v>30</v>
      </c>
      <c r="E57" s="135" t="s">
        <v>73</v>
      </c>
      <c r="F57" s="117">
        <f t="shared" si="0"/>
        <v>6533.1</v>
      </c>
      <c r="G57" s="108">
        <f t="shared" si="1"/>
        <v>743.69999999999982</v>
      </c>
      <c r="H57" s="108">
        <f t="shared" si="2"/>
        <v>5789.4000000000005</v>
      </c>
      <c r="I57" s="108">
        <v>0</v>
      </c>
      <c r="J57" s="109">
        <f t="shared" si="3"/>
        <v>5789.4000000000005</v>
      </c>
    </row>
    <row r="58" spans="3:18">
      <c r="D58" s="73"/>
      <c r="E58" s="139" t="s">
        <v>32</v>
      </c>
      <c r="F58" s="129">
        <f>SUM(F46:F57)</f>
        <v>79486.05</v>
      </c>
      <c r="G58" s="130">
        <f>SUM(G46:G57)</f>
        <v>9048.3499999999913</v>
      </c>
      <c r="H58" s="130">
        <f>SUM(H46:H57)</f>
        <v>70437.700000000012</v>
      </c>
      <c r="I58" s="130">
        <f>SUM(I46:I57)</f>
        <v>0</v>
      </c>
      <c r="J58" s="131">
        <f>SUM(J46:J57)</f>
        <v>70437.700000000012</v>
      </c>
    </row>
    <row r="59" spans="3:18">
      <c r="D59" s="73"/>
      <c r="E59" s="137"/>
    </row>
    <row r="60" spans="3:18">
      <c r="E60" s="137"/>
    </row>
    <row r="62" spans="3:18">
      <c r="C62" s="72">
        <v>1.4</v>
      </c>
      <c r="D62" s="71" t="s">
        <v>125</v>
      </c>
    </row>
    <row r="63" spans="3:18" ht="25.5">
      <c r="F63" s="113" t="s">
        <v>57</v>
      </c>
      <c r="G63" s="114" t="s">
        <v>58</v>
      </c>
      <c r="H63" s="114" t="s">
        <v>60</v>
      </c>
      <c r="I63" s="114" t="s">
        <v>59</v>
      </c>
      <c r="J63" s="115" t="s">
        <v>50</v>
      </c>
    </row>
    <row r="64" spans="3:18">
      <c r="E64" s="104" t="s">
        <v>65</v>
      </c>
      <c r="F64" s="116">
        <f>+F10</f>
        <v>0</v>
      </c>
      <c r="G64" s="105">
        <f>+G10</f>
        <v>0</v>
      </c>
      <c r="H64" s="105">
        <f>+H10</f>
        <v>0</v>
      </c>
      <c r="I64" s="105">
        <f>+I10</f>
        <v>0</v>
      </c>
      <c r="J64" s="106">
        <f>+J10</f>
        <v>0</v>
      </c>
    </row>
    <row r="65" spans="2:10">
      <c r="E65" s="140" t="s">
        <v>114</v>
      </c>
      <c r="F65" s="141">
        <f>+F58</f>
        <v>79486.05</v>
      </c>
      <c r="G65" s="142">
        <f>+G58</f>
        <v>9048.3499999999913</v>
      </c>
      <c r="H65" s="142">
        <f>+H58</f>
        <v>70437.700000000012</v>
      </c>
      <c r="I65" s="142">
        <f>+I58</f>
        <v>0</v>
      </c>
      <c r="J65" s="143">
        <f>+J58</f>
        <v>70437.700000000012</v>
      </c>
    </row>
    <row r="66" spans="2:10">
      <c r="E66" s="110" t="s">
        <v>76</v>
      </c>
      <c r="F66" s="118">
        <f>+F64+F65</f>
        <v>79486.05</v>
      </c>
      <c r="G66" s="111">
        <f>+G64+G65</f>
        <v>9048.3499999999913</v>
      </c>
      <c r="H66" s="111">
        <f>+H64+H65</f>
        <v>70437.700000000012</v>
      </c>
      <c r="I66" s="111">
        <f>+I64+I65</f>
        <v>0</v>
      </c>
      <c r="J66" s="112">
        <f>+J64+J65</f>
        <v>70437.700000000012</v>
      </c>
    </row>
    <row r="67" spans="2:10">
      <c r="E67" s="139" t="s">
        <v>80</v>
      </c>
      <c r="F67" s="118">
        <f>+F40</f>
        <v>0</v>
      </c>
      <c r="G67" s="111">
        <f>+G40</f>
        <v>0</v>
      </c>
      <c r="H67" s="111">
        <f>+H40</f>
        <v>0</v>
      </c>
      <c r="I67" s="111">
        <f>+I40</f>
        <v>0</v>
      </c>
      <c r="J67" s="112">
        <f>+J40</f>
        <v>0</v>
      </c>
    </row>
    <row r="68" spans="2:10">
      <c r="E68" s="139" t="s">
        <v>32</v>
      </c>
      <c r="F68" s="130">
        <f>+F67+F66</f>
        <v>79486.05</v>
      </c>
      <c r="G68" s="130">
        <f>+G67+G66</f>
        <v>9048.3499999999913</v>
      </c>
      <c r="H68" s="130">
        <f>+H67+H66</f>
        <v>70437.700000000012</v>
      </c>
      <c r="I68" s="130">
        <f>+I67+I66</f>
        <v>0</v>
      </c>
      <c r="J68" s="131">
        <f>+J67+J66</f>
        <v>70437.700000000012</v>
      </c>
    </row>
    <row r="71" spans="2:10">
      <c r="E71" s="137"/>
    </row>
    <row r="74" spans="2:10">
      <c r="B74" s="72" t="s">
        <v>119</v>
      </c>
    </row>
    <row r="76" spans="2:10">
      <c r="F76" s="158" t="s">
        <v>78</v>
      </c>
    </row>
    <row r="77" spans="2:10">
      <c r="E77" s="134" t="s">
        <v>79</v>
      </c>
      <c r="F77" s="159"/>
    </row>
    <row r="78" spans="2:10">
      <c r="E78" s="144" t="s">
        <v>80</v>
      </c>
      <c r="F78" s="160"/>
    </row>
    <row r="79" spans="2:10">
      <c r="E79" s="145" t="s">
        <v>0</v>
      </c>
      <c r="F79" s="153">
        <f>+F68</f>
        <v>79486.05</v>
      </c>
    </row>
    <row r="80" spans="2:10">
      <c r="E80" s="134" t="s">
        <v>58</v>
      </c>
      <c r="F80" s="159">
        <f>+G68</f>
        <v>9048.3499999999913</v>
      </c>
    </row>
    <row r="81" spans="4:15">
      <c r="E81" s="145" t="s">
        <v>33</v>
      </c>
      <c r="F81" s="153">
        <f>+H68</f>
        <v>70437.700000000012</v>
      </c>
    </row>
    <row r="82" spans="4:15">
      <c r="E82" s="144" t="s">
        <v>124</v>
      </c>
      <c r="F82" s="160">
        <f>+IF(F81*0.1&gt;$O$90,$O$90,F81*0.1)</f>
        <v>7043.7700000000013</v>
      </c>
    </row>
    <row r="83" spans="4:15">
      <c r="E83" s="144" t="s">
        <v>4</v>
      </c>
      <c r="F83" s="160">
        <f>+F81-F82</f>
        <v>63393.930000000008</v>
      </c>
    </row>
    <row r="84" spans="4:15">
      <c r="E84" s="86" t="s">
        <v>2</v>
      </c>
      <c r="F84" s="152">
        <f>+F85/F83</f>
        <v>5.5504528588147153E-2</v>
      </c>
    </row>
    <row r="85" spans="4:15">
      <c r="E85" s="146" t="s">
        <v>122</v>
      </c>
      <c r="F85" s="153">
        <f>+'Ord 11'!K31</f>
        <v>3518.6502</v>
      </c>
    </row>
    <row r="86" spans="4:15">
      <c r="E86" s="162" t="s">
        <v>1</v>
      </c>
      <c r="F86" s="163">
        <f>+F79-F80-F85</f>
        <v>66919.049800000008</v>
      </c>
    </row>
    <row r="87" spans="4:15">
      <c r="E87" s="147"/>
      <c r="F87" s="147"/>
    </row>
    <row r="88" spans="4:15">
      <c r="E88" s="96" t="s">
        <v>35</v>
      </c>
      <c r="F88" s="155">
        <f>++(F79-F86)/F79</f>
        <v>0.1581032168537749</v>
      </c>
    </row>
    <row r="89" spans="4:15">
      <c r="E89" s="181" t="s">
        <v>126</v>
      </c>
      <c r="F89" s="199">
        <f>+F85/(F79-F80)</f>
        <v>4.9954075729332435E-2</v>
      </c>
      <c r="G89" s="71" t="s">
        <v>140</v>
      </c>
    </row>
    <row r="90" spans="4:15">
      <c r="N90" s="138" t="s">
        <v>34</v>
      </c>
      <c r="O90" s="209">
        <v>13900</v>
      </c>
    </row>
    <row r="91" spans="4:15">
      <c r="D91" s="72"/>
      <c r="E91" s="72"/>
      <c r="F91" s="72"/>
      <c r="G91" s="72"/>
    </row>
    <row r="92" spans="4:15">
      <c r="D92" s="72"/>
      <c r="E92" s="72"/>
      <c r="F92" s="72"/>
      <c r="G92" s="72"/>
    </row>
    <row r="93" spans="4:15">
      <c r="D93" s="72"/>
      <c r="E93" s="72"/>
      <c r="F93" s="72"/>
      <c r="G93" s="72"/>
    </row>
    <row r="94" spans="4:15">
      <c r="D94" s="72"/>
      <c r="E94" s="72"/>
      <c r="F94" s="72"/>
      <c r="G94" s="72"/>
    </row>
    <row r="95" spans="4:15">
      <c r="D95" s="72"/>
      <c r="E95" s="72"/>
      <c r="F95" s="72"/>
      <c r="G95" s="72"/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3:Q43"/>
  <sheetViews>
    <sheetView showGridLines="0" topLeftCell="A17" workbookViewId="0">
      <selection activeCell="K35" sqref="K35"/>
    </sheetView>
  </sheetViews>
  <sheetFormatPr baseColWidth="10" defaultRowHeight="12.75"/>
  <sheetData>
    <row r="3" spans="2:17">
      <c r="B3" s="26" t="s">
        <v>10</v>
      </c>
      <c r="C3" s="27">
        <f>+'2011'!F83</f>
        <v>63393.930000000008</v>
      </c>
    </row>
    <row r="4" spans="2:17">
      <c r="B4" t="s">
        <v>27</v>
      </c>
      <c r="C4" s="1">
        <f>+M21</f>
        <v>7885.5290000000023</v>
      </c>
    </row>
    <row r="5" spans="2:17">
      <c r="B5" t="s">
        <v>28</v>
      </c>
      <c r="C5" s="1">
        <f>+M13</f>
        <v>3518.6502</v>
      </c>
    </row>
    <row r="7" spans="2:17">
      <c r="B7" s="13" t="s">
        <v>14</v>
      </c>
      <c r="C7" s="214">
        <v>4</v>
      </c>
      <c r="D7" s="11" t="s">
        <v>5</v>
      </c>
      <c r="E7" s="12"/>
      <c r="F7" s="12"/>
      <c r="G7" s="12" t="s">
        <v>6</v>
      </c>
      <c r="H7" s="12"/>
      <c r="I7" s="12" t="s">
        <v>11</v>
      </c>
      <c r="J7" s="12" t="s">
        <v>13</v>
      </c>
      <c r="K7" s="12" t="s">
        <v>12</v>
      </c>
      <c r="L7" s="12" t="s">
        <v>9</v>
      </c>
      <c r="M7" s="24" t="s">
        <v>8</v>
      </c>
      <c r="O7" s="37" t="s">
        <v>24</v>
      </c>
    </row>
    <row r="8" spans="2:17">
      <c r="D8" s="3">
        <f>+Prinicpios!D8</f>
        <v>0</v>
      </c>
      <c r="E8" s="4">
        <f>+Prinicpios!E8</f>
        <v>23852</v>
      </c>
      <c r="F8" s="5"/>
      <c r="G8" s="6">
        <f>+Prinicpios!G8</f>
        <v>0</v>
      </c>
      <c r="H8" s="5"/>
      <c r="I8" s="4">
        <f>+(E8-D8)*G8</f>
        <v>0</v>
      </c>
      <c r="J8" s="4">
        <f>+I8</f>
        <v>0</v>
      </c>
      <c r="K8" s="5">
        <f>+IF($C$3&lt;=E8,IF($C$3&gt;D8,1,0),0)</f>
        <v>0</v>
      </c>
      <c r="L8" s="4">
        <f>ROUND(+IF(C$3&gt;E8,0,IF((C$3-D8)&lt;0,0,(C$3-D8))),2)</f>
        <v>0</v>
      </c>
      <c r="M8" s="29">
        <v>0</v>
      </c>
      <c r="N8" s="36">
        <f>+IF(Q8=I8,I8,N$13-Q$13)</f>
        <v>0</v>
      </c>
      <c r="O8" s="48">
        <f>+IF(L8&lt;&gt;0,L8/N8,G8)</f>
        <v>0</v>
      </c>
      <c r="Q8">
        <f>+IF(L8=0,I8,0)</f>
        <v>0</v>
      </c>
    </row>
    <row r="9" spans="2:17">
      <c r="D9" s="3">
        <f>+Prinicpios!D9</f>
        <v>23852</v>
      </c>
      <c r="E9" s="4">
        <f>+Prinicpios!E9</f>
        <v>47584</v>
      </c>
      <c r="F9" s="5"/>
      <c r="G9" s="6">
        <f>+Prinicpios!G9</f>
        <v>5.5E-2</v>
      </c>
      <c r="H9" s="5"/>
      <c r="I9" s="4">
        <f>+(E9-D9)*G9</f>
        <v>1305.26</v>
      </c>
      <c r="J9" s="4">
        <f>+J8+I9</f>
        <v>1305.26</v>
      </c>
      <c r="K9" s="5">
        <f>+IF($C$3&lt;=E9,IF($C$3&gt;D9,1,0),0)</f>
        <v>0</v>
      </c>
      <c r="L9" s="4">
        <f>ROUND(+IF(C$3&gt;E9,0,IF((C$3-D9)&lt;0,0,(C$3-D9))),2)</f>
        <v>0</v>
      </c>
      <c r="M9" s="30">
        <f>+K9*J8+L9*G9</f>
        <v>0</v>
      </c>
      <c r="N9" s="36">
        <f>+IF(Q9=I9,I9,N$13-Q$13)</f>
        <v>1305.26</v>
      </c>
      <c r="O9" s="48">
        <f>+IF(L9&lt;&gt;0,L9/N9,G9)</f>
        <v>5.5E-2</v>
      </c>
      <c r="Q9">
        <f>+IF(L9=0,I9,0)</f>
        <v>1305.26</v>
      </c>
    </row>
    <row r="10" spans="2:17">
      <c r="D10" s="3">
        <f>+Prinicpios!D10</f>
        <v>47584</v>
      </c>
      <c r="E10" s="4">
        <f>+Prinicpios!E10</f>
        <v>105680</v>
      </c>
      <c r="F10" s="5"/>
      <c r="G10" s="6">
        <f>+Prinicpios!G10</f>
        <v>0.14000000000000001</v>
      </c>
      <c r="H10" s="5"/>
      <c r="I10" s="4">
        <f>+(E10-D10)*G10</f>
        <v>8133.4400000000005</v>
      </c>
      <c r="J10" s="4">
        <f>+J9+I10</f>
        <v>9438.7000000000007</v>
      </c>
      <c r="K10" s="5">
        <f>+IF($C$3&lt;=E10,IF($C$3&gt;D10,1,0),0)</f>
        <v>1</v>
      </c>
      <c r="L10" s="4">
        <f>ROUND(+IF(C$3&gt;E10,0,IF((C$3-D10)&lt;0,0,(C$3-D10))),2)</f>
        <v>15809.93</v>
      </c>
      <c r="M10" s="30">
        <f>+K10*J9+L10*G10</f>
        <v>3518.6502</v>
      </c>
      <c r="N10" s="36">
        <f>+IF(Q10=I10,I10,N$13-Q$13)</f>
        <v>-51078.609800000006</v>
      </c>
      <c r="O10" s="48">
        <f>+IF(L10&lt;&gt;0,L10/N10,G10)</f>
        <v>-0.30952154065868875</v>
      </c>
      <c r="Q10">
        <f>+IF(L10=0,I10,0)</f>
        <v>0</v>
      </c>
    </row>
    <row r="11" spans="2:17">
      <c r="D11" s="3">
        <f>+Prinicpios!D11</f>
        <v>105680</v>
      </c>
      <c r="E11" s="4">
        <f>+Prinicpios!E11</f>
        <v>283320</v>
      </c>
      <c r="F11" s="5"/>
      <c r="G11" s="6">
        <f>+Prinicpios!G11</f>
        <v>0.3</v>
      </c>
      <c r="H11" s="5"/>
      <c r="I11" s="4">
        <f>+(E11-D11)*G11</f>
        <v>53292</v>
      </c>
      <c r="J11" s="4">
        <f>+J10+I11</f>
        <v>62730.7</v>
      </c>
      <c r="K11" s="5">
        <f>+IF($C$3&lt;=E11,IF($C$3&gt;D11,1,0),0)</f>
        <v>0</v>
      </c>
      <c r="L11" s="4">
        <f>ROUND(+IF(C$3&gt;E11,0,IF((C$3-D11)&lt;0,0,(C$3-D11))),2)</f>
        <v>0</v>
      </c>
      <c r="M11" s="30">
        <f>+K11*J10+L11*G11</f>
        <v>0</v>
      </c>
      <c r="N11" s="36">
        <f>+IF(Q11=I11,I11,N$13-Q$13)</f>
        <v>53292</v>
      </c>
      <c r="O11" s="48">
        <f>+IF(L11&lt;&gt;0,N11/L11,G11)</f>
        <v>0.3</v>
      </c>
      <c r="Q11">
        <f>+IF(L11=0,I11,0)</f>
        <v>53292</v>
      </c>
    </row>
    <row r="12" spans="2:17">
      <c r="D12" s="7">
        <f>+Prinicpios!D12</f>
        <v>283320</v>
      </c>
      <c r="E12" s="8">
        <f>+Prinicpios!E12</f>
        <v>10000000</v>
      </c>
      <c r="F12" s="9"/>
      <c r="G12" s="10">
        <f>+Prinicpios!G12</f>
        <v>0.41</v>
      </c>
      <c r="H12" s="9"/>
      <c r="I12" s="8"/>
      <c r="J12" s="8"/>
      <c r="K12" s="9">
        <f>+IF($C$3&lt;=E12,IF($C$3&gt;D12,1,0),0)</f>
        <v>0</v>
      </c>
      <c r="L12" s="8">
        <f>ROUND(+IF(C$3&gt;E12,0,IF((C$3-D12)&lt;0,0,(C$3-D12))),2)</f>
        <v>0</v>
      </c>
      <c r="M12" s="31">
        <f>+K12*J11+L12*G12</f>
        <v>0</v>
      </c>
      <c r="N12" s="36">
        <f>+IF(Q12=I12,I12,N$13-Q$13)</f>
        <v>0</v>
      </c>
      <c r="O12" s="49">
        <f>+IF(L12&lt;&gt;0,N12/L12,G12)</f>
        <v>0.41</v>
      </c>
      <c r="Q12">
        <f>+IF(L12=0,I12,0)</f>
        <v>0</v>
      </c>
    </row>
    <row r="13" spans="2:17">
      <c r="D13" s="1"/>
      <c r="E13" s="1"/>
      <c r="M13" s="28">
        <f>SUM(M8:M12)</f>
        <v>3518.6502</v>
      </c>
      <c r="N13" s="1">
        <f>+K31</f>
        <v>3518.6502</v>
      </c>
      <c r="Q13">
        <f>SUM(Q8:Q12)</f>
        <v>54597.26</v>
      </c>
    </row>
    <row r="14" spans="2:17">
      <c r="M14" s="25"/>
    </row>
    <row r="15" spans="2:17">
      <c r="B15" s="13" t="s">
        <v>14</v>
      </c>
      <c r="C15" s="214">
        <v>2</v>
      </c>
      <c r="D15" s="11" t="s">
        <v>5</v>
      </c>
      <c r="E15" s="12"/>
      <c r="F15" s="12"/>
      <c r="G15" s="12" t="s">
        <v>6</v>
      </c>
      <c r="H15" s="12"/>
      <c r="I15" s="12" t="s">
        <v>11</v>
      </c>
      <c r="J15" s="12" t="s">
        <v>13</v>
      </c>
      <c r="K15" s="12" t="s">
        <v>12</v>
      </c>
      <c r="L15" s="12" t="s">
        <v>9</v>
      </c>
      <c r="M15" s="24" t="s">
        <v>8</v>
      </c>
    </row>
    <row r="16" spans="2:17">
      <c r="D16" s="3">
        <f>+Prinicpios!D16</f>
        <v>0</v>
      </c>
      <c r="E16" s="4">
        <f>+Prinicpios!E16</f>
        <v>11926</v>
      </c>
      <c r="F16" s="5"/>
      <c r="G16" s="6">
        <f>+Prinicpios!G16</f>
        <v>0</v>
      </c>
      <c r="H16" s="5"/>
      <c r="I16" s="4">
        <f>+(E16-D16)*G16</f>
        <v>0</v>
      </c>
      <c r="J16" s="4">
        <f>+I16</f>
        <v>0</v>
      </c>
      <c r="K16" s="5">
        <f>+IF($C$3&lt;=E16,IF($C$3&gt;D16,1,0),0)</f>
        <v>0</v>
      </c>
      <c r="L16" s="4">
        <f>+IF(C$3&gt;E16,0,IF((C$3-D16)&lt;0,0,(C$3-D16)))</f>
        <v>0</v>
      </c>
      <c r="M16" s="29">
        <v>0</v>
      </c>
    </row>
    <row r="17" spans="2:15">
      <c r="D17" s="3">
        <f>+Prinicpios!D17</f>
        <v>11926</v>
      </c>
      <c r="E17" s="4">
        <f>+Prinicpios!E17</f>
        <v>23792</v>
      </c>
      <c r="F17" s="5"/>
      <c r="G17" s="6">
        <f>+Prinicpios!G17</f>
        <v>5.5E-2</v>
      </c>
      <c r="H17" s="5"/>
      <c r="I17" s="4">
        <f>+(E17-D17)*G17</f>
        <v>652.63</v>
      </c>
      <c r="J17" s="4">
        <f>+J16+I17</f>
        <v>652.63</v>
      </c>
      <c r="K17" s="5">
        <f>+IF($C$3&lt;=E17,IF($C$3&gt;D17,1,0),0)</f>
        <v>0</v>
      </c>
      <c r="L17" s="4">
        <f>+IF(C$3&gt;E17,0,IF((C$3-D17)&lt;0,0,(C$3-D17)))</f>
        <v>0</v>
      </c>
      <c r="M17" s="30">
        <f>+K17*J16+L17*G17</f>
        <v>0</v>
      </c>
    </row>
    <row r="18" spans="2:15">
      <c r="D18" s="3">
        <f>+Prinicpios!D18</f>
        <v>23792</v>
      </c>
      <c r="E18" s="4">
        <f>+Prinicpios!E18</f>
        <v>52840</v>
      </c>
      <c r="F18" s="5"/>
      <c r="G18" s="6">
        <f>+Prinicpios!G18</f>
        <v>0.14000000000000001</v>
      </c>
      <c r="H18" s="5"/>
      <c r="I18" s="4">
        <f>+(E18-D18)*G18</f>
        <v>4066.7200000000003</v>
      </c>
      <c r="J18" s="4">
        <f>+J17+I18</f>
        <v>4719.3500000000004</v>
      </c>
      <c r="K18" s="5">
        <f>+IF($C$3&lt;=E18,IF($C$3&gt;D18,1,0),0)</f>
        <v>0</v>
      </c>
      <c r="L18" s="4">
        <f>+IF(C$3&gt;E18,0,IF((C$3-D18)&lt;0,0,(C$3-D18)))</f>
        <v>0</v>
      </c>
      <c r="M18" s="30">
        <f>+K18*J17+L18*G18</f>
        <v>0</v>
      </c>
    </row>
    <row r="19" spans="2:15">
      <c r="D19" s="3">
        <f>+Prinicpios!D19</f>
        <v>52840</v>
      </c>
      <c r="E19" s="4">
        <f>+Prinicpios!E19</f>
        <v>141660</v>
      </c>
      <c r="F19" s="5"/>
      <c r="G19" s="6">
        <f>+Prinicpios!G19</f>
        <v>0.3</v>
      </c>
      <c r="H19" s="5"/>
      <c r="I19" s="4">
        <f>+(E19-D19)*G19</f>
        <v>26646</v>
      </c>
      <c r="J19" s="4">
        <f>+J18+I19</f>
        <v>31365.35</v>
      </c>
      <c r="K19" s="5">
        <f>+IF($C$3&lt;=E19,IF($C$3&gt;D19,1,0),0)</f>
        <v>1</v>
      </c>
      <c r="L19" s="4">
        <f>+IF(C$3&gt;E19,0,IF((C$3-D19)&lt;0,0,(C$3-D19)))</f>
        <v>10553.930000000008</v>
      </c>
      <c r="M19" s="30">
        <f>+K19*J18+L19*G19</f>
        <v>7885.5290000000023</v>
      </c>
    </row>
    <row r="20" spans="2:15">
      <c r="D20" s="7">
        <f>+Prinicpios!D20</f>
        <v>141660</v>
      </c>
      <c r="E20" s="8">
        <f>+Prinicpios!E20</f>
        <v>10000000</v>
      </c>
      <c r="F20" s="9"/>
      <c r="G20" s="10">
        <f>+Prinicpios!G20</f>
        <v>0.41</v>
      </c>
      <c r="H20" s="9"/>
      <c r="I20" s="8">
        <f>+(E20-D20)*G20</f>
        <v>4041919.4</v>
      </c>
      <c r="J20" s="8"/>
      <c r="K20" s="9">
        <f>+IF($C$3&lt;=E20,IF($C$3&gt;D20,1,0),0)</f>
        <v>0</v>
      </c>
      <c r="L20" s="8">
        <f>+IF(C$3&gt;E20,0,IF((C$3-D20)&lt;0,0,(C$3-D20)))</f>
        <v>0</v>
      </c>
      <c r="M20" s="31">
        <f>+K20*J19+L20*G20</f>
        <v>0</v>
      </c>
    </row>
    <row r="21" spans="2:15">
      <c r="M21" s="31">
        <f>SUM(M16:M20)</f>
        <v>7885.5290000000023</v>
      </c>
    </row>
    <row r="23" spans="2:15">
      <c r="B23" s="20" t="s">
        <v>17</v>
      </c>
    </row>
    <row r="24" spans="2:15">
      <c r="D24" s="210" t="s">
        <v>141</v>
      </c>
      <c r="E24" s="211" t="s">
        <v>14</v>
      </c>
      <c r="F24" s="212" t="s">
        <v>15</v>
      </c>
      <c r="G24" s="213" t="s">
        <v>16</v>
      </c>
    </row>
    <row r="25" spans="2:15">
      <c r="D25" s="215">
        <v>2292</v>
      </c>
      <c r="E25" s="216">
        <f>+C7</f>
        <v>4</v>
      </c>
      <c r="F25" s="216">
        <f>+(E25-2)*2</f>
        <v>4</v>
      </c>
      <c r="G25" s="217">
        <f>+F25*D25</f>
        <v>9168</v>
      </c>
    </row>
    <row r="28" spans="2:15">
      <c r="B28" s="17"/>
      <c r="C28" s="16" t="s">
        <v>19</v>
      </c>
      <c r="D28" s="12">
        <f>+C15</f>
        <v>2</v>
      </c>
      <c r="E28" s="12" t="s">
        <v>14</v>
      </c>
      <c r="F28" s="18">
        <f>+M21</f>
        <v>7885.5290000000023</v>
      </c>
    </row>
    <row r="29" spans="2:15">
      <c r="D29" s="15" t="s">
        <v>23</v>
      </c>
      <c r="E29" s="19"/>
      <c r="F29" s="18">
        <f>+G25</f>
        <v>9168</v>
      </c>
      <c r="O29" t="s">
        <v>25</v>
      </c>
    </row>
    <row r="30" spans="2:15">
      <c r="D30" s="15" t="s">
        <v>18</v>
      </c>
      <c r="E30" s="19"/>
      <c r="F30" s="18">
        <f>+F28-F29</f>
        <v>-1282.4709999999977</v>
      </c>
      <c r="G30" s="2" t="s">
        <v>20</v>
      </c>
      <c r="K30">
        <v>2558.7780000000002</v>
      </c>
    </row>
    <row r="31" spans="2:15">
      <c r="H31" s="21" t="s">
        <v>22</v>
      </c>
      <c r="I31" s="22"/>
      <c r="J31" s="22"/>
      <c r="K31" s="23">
        <f>MAX(F30,F32)</f>
        <v>3518.6502</v>
      </c>
    </row>
    <row r="32" spans="2:15">
      <c r="B32" s="17"/>
      <c r="C32" s="16" t="s">
        <v>19</v>
      </c>
      <c r="D32" s="12">
        <f>+C7</f>
        <v>4</v>
      </c>
      <c r="E32" s="12" t="s">
        <v>14</v>
      </c>
      <c r="F32" s="18">
        <f>+M13</f>
        <v>3518.6502</v>
      </c>
      <c r="G32" s="2" t="s">
        <v>21</v>
      </c>
      <c r="K32" s="1">
        <f>+K31-K30</f>
        <v>959.87219999999979</v>
      </c>
    </row>
    <row r="40" spans="2:12">
      <c r="B40" s="32" t="s">
        <v>7</v>
      </c>
      <c r="C40" s="42">
        <v>0</v>
      </c>
      <c r="D40" s="33">
        <v>11704</v>
      </c>
      <c r="E40" s="33">
        <v>23408</v>
      </c>
      <c r="F40" s="33">
        <v>46692</v>
      </c>
      <c r="G40" s="35">
        <v>51852</v>
      </c>
      <c r="H40" s="33">
        <v>103704</v>
      </c>
      <c r="I40" s="33">
        <v>139010</v>
      </c>
      <c r="J40" s="35">
        <v>278020</v>
      </c>
      <c r="K40" s="33">
        <v>300000</v>
      </c>
      <c r="L40" s="34">
        <v>350000</v>
      </c>
    </row>
    <row r="41" spans="2:12">
      <c r="B41" s="39" t="s">
        <v>26</v>
      </c>
      <c r="C41" s="50">
        <v>0</v>
      </c>
      <c r="D41" s="51">
        <v>0</v>
      </c>
      <c r="E41" s="51">
        <v>648.99</v>
      </c>
      <c r="F41" s="51">
        <v>3908.75</v>
      </c>
      <c r="G41" s="51">
        <v>4631.1499999999996</v>
      </c>
      <c r="H41" s="51">
        <v>20186.75</v>
      </c>
      <c r="I41" s="51">
        <v>30778.55</v>
      </c>
      <c r="J41" s="51">
        <v>86382.55</v>
      </c>
      <c r="K41" s="51">
        <v>95174.55</v>
      </c>
      <c r="L41" s="52">
        <v>115174.55</v>
      </c>
    </row>
    <row r="42" spans="2:12">
      <c r="B42" s="40" t="s">
        <v>29</v>
      </c>
      <c r="C42" s="50">
        <v>0</v>
      </c>
      <c r="D42" s="51">
        <v>0</v>
      </c>
      <c r="E42" s="51">
        <v>0</v>
      </c>
      <c r="F42" s="51">
        <v>1280.6199999999999</v>
      </c>
      <c r="G42" s="51">
        <v>2003.02</v>
      </c>
      <c r="H42" s="51">
        <v>9262.2999999999993</v>
      </c>
      <c r="I42" s="51">
        <v>19854.099999999999</v>
      </c>
      <c r="J42" s="51">
        <v>61557.1</v>
      </c>
      <c r="K42" s="51">
        <v>70349.100000000006</v>
      </c>
      <c r="L42" s="52">
        <v>90349.1</v>
      </c>
    </row>
    <row r="43" spans="2:12">
      <c r="B43" s="41" t="s">
        <v>8</v>
      </c>
      <c r="C43" s="53">
        <f t="shared" ref="C43:L43" si="0">+MAX(C41-$F$29,C42)</f>
        <v>0</v>
      </c>
      <c r="D43" s="54">
        <f t="shared" si="0"/>
        <v>0</v>
      </c>
      <c r="E43" s="54">
        <f t="shared" si="0"/>
        <v>0</v>
      </c>
      <c r="F43" s="54">
        <f t="shared" si="0"/>
        <v>1280.6199999999999</v>
      </c>
      <c r="G43" s="54">
        <f t="shared" si="0"/>
        <v>2003.02</v>
      </c>
      <c r="H43" s="54">
        <f t="shared" si="0"/>
        <v>11018.75</v>
      </c>
      <c r="I43" s="54">
        <f t="shared" si="0"/>
        <v>21610.55</v>
      </c>
      <c r="J43" s="54">
        <f t="shared" si="0"/>
        <v>77214.55</v>
      </c>
      <c r="K43" s="54">
        <f t="shared" si="0"/>
        <v>86006.55</v>
      </c>
      <c r="L43" s="55">
        <f t="shared" si="0"/>
        <v>106006.55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1:O86"/>
  <sheetViews>
    <sheetView showGridLines="0" workbookViewId="0">
      <selection activeCell="I23" sqref="I23"/>
    </sheetView>
  </sheetViews>
  <sheetFormatPr baseColWidth="10" defaultRowHeight="12.75"/>
  <cols>
    <col min="2" max="2" width="23.28515625" customWidth="1"/>
    <col min="7" max="7" width="11.28515625" customWidth="1"/>
  </cols>
  <sheetData>
    <row r="1" spans="2:13">
      <c r="B1" t="s">
        <v>36</v>
      </c>
    </row>
    <row r="3" spans="2:13">
      <c r="B3" s="26" t="s">
        <v>10</v>
      </c>
      <c r="C3" s="27">
        <v>130000</v>
      </c>
    </row>
    <row r="4" spans="2:13">
      <c r="B4" t="s">
        <v>27</v>
      </c>
      <c r="C4" s="1">
        <f>+M21</f>
        <v>27867.35</v>
      </c>
    </row>
    <row r="5" spans="2:13">
      <c r="B5" t="s">
        <v>28</v>
      </c>
      <c r="C5" s="1">
        <f>+M13</f>
        <v>16734.7</v>
      </c>
    </row>
    <row r="6" spans="2:13">
      <c r="E6" s="25" t="s">
        <v>149</v>
      </c>
    </row>
    <row r="7" spans="2:13">
      <c r="B7" s="13" t="s">
        <v>14</v>
      </c>
      <c r="C7" s="14">
        <v>4</v>
      </c>
      <c r="D7" s="11" t="s">
        <v>5</v>
      </c>
      <c r="E7" s="12"/>
      <c r="F7" s="12"/>
      <c r="G7" s="12" t="s">
        <v>6</v>
      </c>
      <c r="H7" s="12"/>
      <c r="I7" s="12" t="s">
        <v>11</v>
      </c>
      <c r="J7" s="12" t="s">
        <v>13</v>
      </c>
      <c r="K7" s="12" t="s">
        <v>12</v>
      </c>
      <c r="L7" s="12" t="s">
        <v>9</v>
      </c>
      <c r="M7" s="37" t="s">
        <v>8</v>
      </c>
    </row>
    <row r="8" spans="2:13">
      <c r="D8" s="57">
        <v>0</v>
      </c>
      <c r="E8" s="56">
        <v>23852</v>
      </c>
      <c r="F8" s="5"/>
      <c r="G8" s="58">
        <v>0</v>
      </c>
      <c r="H8" s="5"/>
      <c r="I8" s="4">
        <f>+(E8-D8)*G8</f>
        <v>0</v>
      </c>
      <c r="J8" s="4">
        <f>+I8</f>
        <v>0</v>
      </c>
      <c r="K8" s="5">
        <f>+IF($C$3&lt;=E8,IF($C$3&gt;D8,1,0),0)</f>
        <v>0</v>
      </c>
      <c r="L8" s="4">
        <f>ROUND(+IF(C$3&gt;E8,0,IF((C$3-D8)&lt;0,0,(C$3-D8))),2)</f>
        <v>0</v>
      </c>
      <c r="M8" s="29">
        <v>0</v>
      </c>
    </row>
    <row r="9" spans="2:13">
      <c r="D9" s="3">
        <f>+E8</f>
        <v>23852</v>
      </c>
      <c r="E9" s="56">
        <v>47584</v>
      </c>
      <c r="F9" s="5"/>
      <c r="G9" s="58">
        <v>5.5E-2</v>
      </c>
      <c r="H9" s="5"/>
      <c r="I9" s="4">
        <f>+(E9-D9)*G9</f>
        <v>1305.26</v>
      </c>
      <c r="J9" s="4">
        <f>+J8+I9</f>
        <v>1305.26</v>
      </c>
      <c r="K9" s="5">
        <f>+IF($C$3&lt;=E9,IF($C$3&gt;D9,1,0),0)</f>
        <v>0</v>
      </c>
      <c r="L9" s="4">
        <f>ROUND(+IF(C$3&gt;E9,0,IF((C$3-D9)&lt;0,0,(C$3-D9))),2)</f>
        <v>0</v>
      </c>
      <c r="M9" s="30">
        <f>+K9*J8+L9*G9</f>
        <v>0</v>
      </c>
    </row>
    <row r="10" spans="2:13">
      <c r="D10" s="3">
        <f>+E9</f>
        <v>47584</v>
      </c>
      <c r="E10" s="56">
        <v>105680</v>
      </c>
      <c r="F10" s="5"/>
      <c r="G10" s="58">
        <v>0.14000000000000001</v>
      </c>
      <c r="H10" s="5"/>
      <c r="I10" s="4">
        <f>+(E10-D10)*G10</f>
        <v>8133.4400000000005</v>
      </c>
      <c r="J10" s="4">
        <f>+J9+I10</f>
        <v>9438.7000000000007</v>
      </c>
      <c r="K10" s="5">
        <f>+IF($C$3&lt;=E10,IF($C$3&gt;D10,1,0),0)</f>
        <v>0</v>
      </c>
      <c r="L10" s="4">
        <f>ROUND(+IF(C$3&gt;E10,0,IF((C$3-D10)&lt;0,0,(C$3-D10))),2)</f>
        <v>0</v>
      </c>
      <c r="M10" s="30">
        <f>+K10*J9+L10*G10</f>
        <v>0</v>
      </c>
    </row>
    <row r="11" spans="2:13">
      <c r="D11" s="3">
        <f>+E10</f>
        <v>105680</v>
      </c>
      <c r="E11" s="56">
        <v>283320</v>
      </c>
      <c r="F11" s="5"/>
      <c r="G11" s="58">
        <v>0.3</v>
      </c>
      <c r="H11" s="5"/>
      <c r="I11" s="4">
        <f>+(E11-D11)*G11</f>
        <v>53292</v>
      </c>
      <c r="J11" s="4">
        <f>+J10+I11</f>
        <v>62730.7</v>
      </c>
      <c r="K11" s="5">
        <f>+IF($C$3&lt;=E11,IF($C$3&gt;D11,1,0),0)</f>
        <v>1</v>
      </c>
      <c r="L11" s="4">
        <f>ROUND(+IF(C$3&gt;E11,0,IF((C$3-D11)&lt;0,0,(C$3-D11))),2)</f>
        <v>24320</v>
      </c>
      <c r="M11" s="30">
        <f>+K11*J10+L11*G11</f>
        <v>16734.7</v>
      </c>
    </row>
    <row r="12" spans="2:13">
      <c r="D12" s="7">
        <f>+E11</f>
        <v>283320</v>
      </c>
      <c r="E12" s="60">
        <v>10000000</v>
      </c>
      <c r="F12" s="9"/>
      <c r="G12" s="59">
        <v>0.41</v>
      </c>
      <c r="H12" s="9"/>
      <c r="I12" s="8"/>
      <c r="J12" s="8"/>
      <c r="K12" s="9">
        <f>+IF($C$3&lt;=E12,IF($C$3&gt;D12,1,0),0)</f>
        <v>0</v>
      </c>
      <c r="L12" s="8">
        <f>ROUND(+IF(C$3&gt;E12,0,IF((C$3-D12)&lt;0,0,(C$3-D12))),2)</f>
        <v>0</v>
      </c>
      <c r="M12" s="31">
        <f>+K12*J11+L12*G12</f>
        <v>0</v>
      </c>
    </row>
    <row r="13" spans="2:13">
      <c r="D13" s="1"/>
      <c r="E13" s="1"/>
      <c r="M13" s="28">
        <f>SUM(M8:M12)</f>
        <v>16734.7</v>
      </c>
    </row>
    <row r="14" spans="2:13">
      <c r="M14" s="25"/>
    </row>
    <row r="15" spans="2:13">
      <c r="B15" s="13" t="s">
        <v>14</v>
      </c>
      <c r="C15" s="14">
        <v>2</v>
      </c>
      <c r="D15" s="11" t="s">
        <v>5</v>
      </c>
      <c r="E15" s="12"/>
      <c r="F15" s="12"/>
      <c r="G15" s="12" t="s">
        <v>6</v>
      </c>
      <c r="H15" s="12"/>
      <c r="I15" s="12" t="s">
        <v>11</v>
      </c>
      <c r="J15" s="12" t="s">
        <v>13</v>
      </c>
      <c r="K15" s="12" t="s">
        <v>12</v>
      </c>
      <c r="L15" s="12" t="s">
        <v>9</v>
      </c>
      <c r="M15" s="37" t="s">
        <v>8</v>
      </c>
    </row>
    <row r="16" spans="2:13">
      <c r="D16" s="3">
        <v>0</v>
      </c>
      <c r="E16" s="4">
        <f>+E8/2</f>
        <v>11926</v>
      </c>
      <c r="F16" s="5"/>
      <c r="G16" s="6">
        <f>+G8</f>
        <v>0</v>
      </c>
      <c r="H16" s="5"/>
      <c r="I16" s="4">
        <f>+(E16-D16)*G16</f>
        <v>0</v>
      </c>
      <c r="J16" s="4">
        <f>+I16</f>
        <v>0</v>
      </c>
      <c r="K16" s="5">
        <f>+IF($C$3&lt;=E16,IF($C$3&gt;D16,1,0),0)</f>
        <v>0</v>
      </c>
      <c r="L16" s="4">
        <f>+IF(C$3&gt;E16,0,IF((C$3-D16)&lt;0,0,(C$3-D16)))</f>
        <v>0</v>
      </c>
      <c r="M16" s="29">
        <v>0</v>
      </c>
    </row>
    <row r="17" spans="2:15">
      <c r="D17" s="3">
        <f>+E16</f>
        <v>11926</v>
      </c>
      <c r="E17" s="4">
        <f>+E9/2</f>
        <v>23792</v>
      </c>
      <c r="F17" s="5"/>
      <c r="G17" s="6">
        <f>+G9</f>
        <v>5.5E-2</v>
      </c>
      <c r="H17" s="5"/>
      <c r="I17" s="4">
        <f>+(E17-D17)*G17</f>
        <v>652.63</v>
      </c>
      <c r="J17" s="4">
        <f>+J16+I17</f>
        <v>652.63</v>
      </c>
      <c r="K17" s="5">
        <f>+IF($C$3&lt;=E17,IF($C$3&gt;D17,1,0),0)</f>
        <v>0</v>
      </c>
      <c r="L17" s="4">
        <f>+IF(C$3&gt;E17,0,IF((C$3-D17)&lt;0,0,(C$3-D17)))</f>
        <v>0</v>
      </c>
      <c r="M17" s="30">
        <f>+K17*J16+L17*G17</f>
        <v>0</v>
      </c>
    </row>
    <row r="18" spans="2:15">
      <c r="D18" s="3">
        <f>+E17</f>
        <v>23792</v>
      </c>
      <c r="E18" s="4">
        <f>+E10/2</f>
        <v>52840</v>
      </c>
      <c r="F18" s="5"/>
      <c r="G18" s="6">
        <f>+G10</f>
        <v>0.14000000000000001</v>
      </c>
      <c r="H18" s="5"/>
      <c r="I18" s="4">
        <f>+(E18-D18)*G18</f>
        <v>4066.7200000000003</v>
      </c>
      <c r="J18" s="4">
        <f>+J17+I18</f>
        <v>4719.3500000000004</v>
      </c>
      <c r="K18" s="5">
        <f>+IF($C$3&lt;=E18,IF($C$3&gt;D18,1,0),0)</f>
        <v>0</v>
      </c>
      <c r="L18" s="4">
        <f>+IF(C$3&gt;E18,0,IF((C$3-D18)&lt;0,0,(C$3-D18)))</f>
        <v>0</v>
      </c>
      <c r="M18" s="30">
        <f>+K18*J17+L18*G18</f>
        <v>0</v>
      </c>
    </row>
    <row r="19" spans="2:15">
      <c r="D19" s="3">
        <f>+E18</f>
        <v>52840</v>
      </c>
      <c r="E19" s="4">
        <f>+E11/2</f>
        <v>141660</v>
      </c>
      <c r="F19" s="5"/>
      <c r="G19" s="6">
        <f>+G11</f>
        <v>0.3</v>
      </c>
      <c r="H19" s="5"/>
      <c r="I19" s="4">
        <f>+(E19-D19)*G19</f>
        <v>26646</v>
      </c>
      <c r="J19" s="4">
        <f>+J18+I19</f>
        <v>31365.35</v>
      </c>
      <c r="K19" s="5">
        <f>+IF($C$3&lt;=E19,IF($C$3&gt;D19,1,0),0)</f>
        <v>1</v>
      </c>
      <c r="L19" s="4">
        <f>+IF(C$3&gt;E19,0,IF((C$3-D19)&lt;0,0,(C$3-D19)))</f>
        <v>77160</v>
      </c>
      <c r="M19" s="30">
        <f>+K19*J18+L19*G19</f>
        <v>27867.35</v>
      </c>
    </row>
    <row r="20" spans="2:15">
      <c r="D20" s="7">
        <f>+E19</f>
        <v>141660</v>
      </c>
      <c r="E20" s="60">
        <v>10000000</v>
      </c>
      <c r="F20" s="9"/>
      <c r="G20" s="10">
        <f>+G12</f>
        <v>0.41</v>
      </c>
      <c r="H20" s="9"/>
      <c r="I20" s="8">
        <f>+(E20-D20)*G20</f>
        <v>4041919.4</v>
      </c>
      <c r="J20" s="8"/>
      <c r="K20" s="9">
        <f>+IF($C$3&lt;=E20,IF($C$3&gt;D20,1,0),0)</f>
        <v>0</v>
      </c>
      <c r="L20" s="8">
        <f>+IF(C$3&gt;E20,0,IF((C$3-D20)&lt;0,0,(C$3-D20)))</f>
        <v>0</v>
      </c>
      <c r="M20" s="31">
        <f>+K20*J19+L20*G20</f>
        <v>0</v>
      </c>
    </row>
    <row r="21" spans="2:15">
      <c r="M21" s="31">
        <f>SUM(M16:M20)</f>
        <v>27867.35</v>
      </c>
    </row>
    <row r="23" spans="2:15">
      <c r="B23" s="20" t="s">
        <v>17</v>
      </c>
    </row>
    <row r="24" spans="2:15">
      <c r="D24" s="210"/>
      <c r="E24" s="211" t="s">
        <v>14</v>
      </c>
      <c r="F24" s="212" t="s">
        <v>15</v>
      </c>
      <c r="G24" s="213" t="s">
        <v>16</v>
      </c>
    </row>
    <row r="25" spans="2:15">
      <c r="D25" s="215">
        <v>2336</v>
      </c>
      <c r="E25" s="216">
        <f>+C7</f>
        <v>4</v>
      </c>
      <c r="F25" s="216">
        <f>+(E25-2)*2</f>
        <v>4</v>
      </c>
      <c r="G25" s="217">
        <f>+F25*D25</f>
        <v>9344</v>
      </c>
    </row>
    <row r="28" spans="2:15">
      <c r="B28" s="17"/>
      <c r="C28" s="16" t="s">
        <v>19</v>
      </c>
      <c r="D28" s="12">
        <f>+C15</f>
        <v>2</v>
      </c>
      <c r="E28" s="12" t="s">
        <v>14</v>
      </c>
      <c r="F28" s="18">
        <f>+M21</f>
        <v>27867.35</v>
      </c>
    </row>
    <row r="29" spans="2:15">
      <c r="D29" s="15" t="s">
        <v>23</v>
      </c>
      <c r="E29" s="19"/>
      <c r="F29" s="18">
        <f>+G25</f>
        <v>9344</v>
      </c>
      <c r="O29" t="s">
        <v>25</v>
      </c>
    </row>
    <row r="30" spans="2:15">
      <c r="D30" s="15" t="s">
        <v>18</v>
      </c>
      <c r="E30" s="19"/>
      <c r="F30" s="18">
        <f>+F28-F29</f>
        <v>18523.349999999999</v>
      </c>
      <c r="G30" s="2" t="s">
        <v>20</v>
      </c>
    </row>
    <row r="31" spans="2:15">
      <c r="H31" s="21" t="s">
        <v>22</v>
      </c>
      <c r="I31" s="22"/>
      <c r="J31" s="22"/>
      <c r="K31" s="23">
        <f>MAX(F30,F32)</f>
        <v>18523.349999999999</v>
      </c>
    </row>
    <row r="32" spans="2:15">
      <c r="B32" s="17"/>
      <c r="C32" s="16" t="s">
        <v>19</v>
      </c>
      <c r="D32" s="12">
        <f>+C7</f>
        <v>4</v>
      </c>
      <c r="E32" s="12" t="s">
        <v>14</v>
      </c>
      <c r="F32" s="18">
        <f>+M13</f>
        <v>16734.7</v>
      </c>
      <c r="G32" s="2" t="s">
        <v>21</v>
      </c>
    </row>
    <row r="36" spans="2:15">
      <c r="B36" s="32" t="s">
        <v>7</v>
      </c>
      <c r="C36" s="61">
        <v>0</v>
      </c>
      <c r="D36" s="62">
        <v>11704</v>
      </c>
      <c r="E36" s="62">
        <v>23408</v>
      </c>
      <c r="F36" s="62">
        <v>46692</v>
      </c>
      <c r="G36" s="63">
        <v>51852</v>
      </c>
      <c r="H36" s="62">
        <v>103704</v>
      </c>
      <c r="I36" s="62">
        <v>139010</v>
      </c>
      <c r="J36" s="63">
        <v>278020</v>
      </c>
      <c r="K36" s="62">
        <v>300000</v>
      </c>
      <c r="L36" s="64">
        <v>350000</v>
      </c>
    </row>
    <row r="37" spans="2:15">
      <c r="B37" s="39" t="s">
        <v>26</v>
      </c>
      <c r="C37" s="43">
        <v>0</v>
      </c>
      <c r="D37" s="38">
        <v>0</v>
      </c>
      <c r="E37" s="38">
        <v>648.99</v>
      </c>
      <c r="F37" s="38">
        <v>3908.75</v>
      </c>
      <c r="G37" s="38">
        <v>4631.1499999999996</v>
      </c>
      <c r="H37" s="38">
        <v>20186.75</v>
      </c>
      <c r="I37" s="38">
        <v>30778.55</v>
      </c>
      <c r="J37" s="38">
        <v>86382.55</v>
      </c>
      <c r="K37" s="38">
        <v>95174.55</v>
      </c>
      <c r="L37" s="44">
        <v>115174.55</v>
      </c>
      <c r="O37" s="70">
        <f>20*1000</f>
        <v>20000</v>
      </c>
    </row>
    <row r="38" spans="2:15">
      <c r="B38" s="40" t="s">
        <v>29</v>
      </c>
      <c r="C38" s="43">
        <v>0</v>
      </c>
      <c r="D38" s="38">
        <v>0</v>
      </c>
      <c r="E38" s="38">
        <v>0</v>
      </c>
      <c r="F38" s="38">
        <v>1280.6199999999999</v>
      </c>
      <c r="G38" s="38">
        <v>2003.02</v>
      </c>
      <c r="H38" s="38">
        <v>9262.2999999999993</v>
      </c>
      <c r="I38" s="38">
        <v>19854.099999999999</v>
      </c>
      <c r="J38" s="38">
        <v>61557.1</v>
      </c>
      <c r="K38" s="38">
        <v>70349.100000000006</v>
      </c>
      <c r="L38" s="44">
        <v>90349.1</v>
      </c>
      <c r="O38" s="1">
        <f>+H36-O37</f>
        <v>83704</v>
      </c>
    </row>
    <row r="39" spans="2:15">
      <c r="B39" s="41" t="s">
        <v>8</v>
      </c>
      <c r="C39" s="45">
        <f>+MAX(C37-$F$29,C38)</f>
        <v>0</v>
      </c>
      <c r="D39" s="46">
        <f t="shared" ref="D39:L39" si="0">+MAX(D37-$F$29,D38)</f>
        <v>0</v>
      </c>
      <c r="E39" s="46">
        <f t="shared" si="0"/>
        <v>0</v>
      </c>
      <c r="F39" s="46">
        <f t="shared" si="0"/>
        <v>1280.6199999999999</v>
      </c>
      <c r="G39" s="46">
        <f t="shared" si="0"/>
        <v>2003.02</v>
      </c>
      <c r="H39" s="46">
        <f t="shared" si="0"/>
        <v>10842.75</v>
      </c>
      <c r="I39" s="46">
        <f t="shared" si="0"/>
        <v>21434.55</v>
      </c>
      <c r="J39" s="46">
        <f t="shared" si="0"/>
        <v>77038.55</v>
      </c>
      <c r="K39" s="46">
        <f t="shared" si="0"/>
        <v>85830.55</v>
      </c>
      <c r="L39" s="47">
        <f t="shared" si="0"/>
        <v>105830.55</v>
      </c>
      <c r="O39">
        <f>+O38*4</f>
        <v>334816</v>
      </c>
    </row>
    <row r="40" spans="2:15">
      <c r="B40" s="39" t="s">
        <v>30</v>
      </c>
      <c r="C40" s="65">
        <f>+IF(C36=0,0,C39/C36)</f>
        <v>0</v>
      </c>
      <c r="D40" s="65">
        <f t="shared" ref="D40:L40" si="1">+IF(D36=0,0,D39/D36)</f>
        <v>0</v>
      </c>
      <c r="E40" s="65">
        <f t="shared" si="1"/>
        <v>0</v>
      </c>
      <c r="F40" s="65">
        <f t="shared" si="1"/>
        <v>2.7426968217253489E-2</v>
      </c>
      <c r="G40" s="65">
        <f t="shared" si="1"/>
        <v>3.8629561058396975E-2</v>
      </c>
      <c r="H40" s="65">
        <f t="shared" si="1"/>
        <v>0.10455479055774126</v>
      </c>
      <c r="I40" s="65">
        <f t="shared" si="1"/>
        <v>0.15419430256816055</v>
      </c>
      <c r="J40" s="65">
        <f t="shared" si="1"/>
        <v>0.2770971512840803</v>
      </c>
      <c r="K40" s="65">
        <f t="shared" si="1"/>
        <v>0.28610183333333333</v>
      </c>
      <c r="L40" s="66">
        <f t="shared" si="1"/>
        <v>0.302373</v>
      </c>
    </row>
    <row r="41" spans="2:15">
      <c r="B41" s="67" t="s">
        <v>31</v>
      </c>
      <c r="C41" s="68">
        <f t="shared" ref="C41:K41" si="2">+IF(D36-C36&lt;0,0,(D39-C39)/(D36-C36))</f>
        <v>0</v>
      </c>
      <c r="D41" s="68">
        <f t="shared" si="2"/>
        <v>0</v>
      </c>
      <c r="E41" s="68">
        <f t="shared" si="2"/>
        <v>5.4999999999999993E-2</v>
      </c>
      <c r="F41" s="68">
        <f t="shared" si="2"/>
        <v>0.14000000000000001</v>
      </c>
      <c r="G41" s="68">
        <f t="shared" si="2"/>
        <v>0.17048002005708554</v>
      </c>
      <c r="H41" s="68">
        <f t="shared" si="2"/>
        <v>0.3</v>
      </c>
      <c r="I41" s="68">
        <f t="shared" si="2"/>
        <v>0.4</v>
      </c>
      <c r="J41" s="68">
        <f t="shared" si="2"/>
        <v>0.4</v>
      </c>
      <c r="K41" s="68">
        <f t="shared" si="2"/>
        <v>0.4</v>
      </c>
      <c r="L41" s="69">
        <f>+K41</f>
        <v>0.4</v>
      </c>
    </row>
    <row r="42" spans="2:15">
      <c r="B42" s="40" t="s">
        <v>37</v>
      </c>
      <c r="C42" s="1">
        <f>+C36-C39</f>
        <v>0</v>
      </c>
      <c r="D42" s="1">
        <f t="shared" ref="D42:L42" si="3">+D36-D39</f>
        <v>11704</v>
      </c>
      <c r="E42" s="1">
        <f t="shared" si="3"/>
        <v>23408</v>
      </c>
      <c r="F42" s="1">
        <f t="shared" si="3"/>
        <v>45411.38</v>
      </c>
      <c r="G42" s="1">
        <f t="shared" si="3"/>
        <v>49848.98</v>
      </c>
      <c r="H42" s="1">
        <f t="shared" si="3"/>
        <v>92861.25</v>
      </c>
      <c r="I42" s="1">
        <f t="shared" si="3"/>
        <v>117575.45</v>
      </c>
      <c r="J42" s="1">
        <f t="shared" si="3"/>
        <v>200981.45</v>
      </c>
      <c r="K42" s="1">
        <f t="shared" si="3"/>
        <v>214169.45</v>
      </c>
      <c r="L42" s="1">
        <f t="shared" si="3"/>
        <v>244169.45</v>
      </c>
    </row>
    <row r="86" spans="14:14">
      <c r="N86">
        <f>150/6</f>
        <v>25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6:AA33"/>
  <sheetViews>
    <sheetView topLeftCell="A6" workbookViewId="0">
      <selection activeCell="A38" sqref="A38"/>
    </sheetView>
  </sheetViews>
  <sheetFormatPr baseColWidth="10" defaultRowHeight="12.75"/>
  <cols>
    <col min="1" max="1" width="11.42578125" style="71"/>
    <col min="2" max="2" width="12.140625" style="71" bestFit="1" customWidth="1"/>
    <col min="3" max="27" width="8" style="71" customWidth="1"/>
    <col min="28" max="16384" width="11.42578125" style="71"/>
  </cols>
  <sheetData>
    <row r="6" spans="1:27" s="165" customFormat="1">
      <c r="C6" s="168" t="s">
        <v>87</v>
      </c>
      <c r="D6" s="169" t="s">
        <v>88</v>
      </c>
      <c r="E6" s="169" t="s">
        <v>55</v>
      </c>
      <c r="F6" s="169" t="s">
        <v>105</v>
      </c>
      <c r="G6" s="169" t="s">
        <v>89</v>
      </c>
      <c r="H6" s="169" t="s">
        <v>86</v>
      </c>
      <c r="I6" s="169" t="s">
        <v>68</v>
      </c>
      <c r="J6" s="169" t="s">
        <v>90</v>
      </c>
      <c r="K6" s="169" t="s">
        <v>70</v>
      </c>
      <c r="L6" s="169" t="s">
        <v>91</v>
      </c>
      <c r="M6" s="169" t="s">
        <v>92</v>
      </c>
      <c r="N6" s="169" t="s">
        <v>93</v>
      </c>
      <c r="O6" s="169" t="s">
        <v>94</v>
      </c>
      <c r="P6" s="170" t="s">
        <v>87</v>
      </c>
      <c r="Q6" s="169" t="s">
        <v>88</v>
      </c>
      <c r="R6" s="169" t="s">
        <v>55</v>
      </c>
      <c r="S6" s="169" t="s">
        <v>89</v>
      </c>
      <c r="T6" s="169" t="s">
        <v>86</v>
      </c>
      <c r="U6" s="169" t="s">
        <v>68</v>
      </c>
      <c r="V6" s="169" t="s">
        <v>90</v>
      </c>
      <c r="W6" s="169" t="s">
        <v>70</v>
      </c>
      <c r="X6" s="169" t="s">
        <v>91</v>
      </c>
      <c r="Y6" s="169" t="s">
        <v>92</v>
      </c>
      <c r="Z6" s="169" t="s">
        <v>93</v>
      </c>
      <c r="AA6" s="171" t="s">
        <v>94</v>
      </c>
    </row>
    <row r="7" spans="1:27"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</row>
    <row r="8" spans="1:27">
      <c r="A8" s="71" t="s">
        <v>7</v>
      </c>
      <c r="B8" s="104" t="s">
        <v>95</v>
      </c>
      <c r="C8" s="172">
        <v>12928.04</v>
      </c>
      <c r="D8" s="172">
        <v>28179.47</v>
      </c>
      <c r="E8" s="172">
        <v>13199.34</v>
      </c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3"/>
    </row>
    <row r="9" spans="1:27">
      <c r="B9" s="107" t="s">
        <v>75</v>
      </c>
      <c r="C9" s="174"/>
      <c r="D9" s="174"/>
      <c r="E9" s="174"/>
      <c r="F9" s="174"/>
      <c r="G9" s="174"/>
      <c r="H9" s="174"/>
      <c r="I9" s="174"/>
      <c r="J9" s="174">
        <v>6500</v>
      </c>
      <c r="K9" s="174">
        <v>6500</v>
      </c>
      <c r="L9" s="174">
        <v>6500</v>
      </c>
      <c r="M9" s="174">
        <v>6500</v>
      </c>
      <c r="N9" s="174">
        <v>6500</v>
      </c>
      <c r="O9" s="174">
        <v>6500</v>
      </c>
      <c r="P9" s="174">
        <v>6500</v>
      </c>
      <c r="Q9" s="174">
        <v>6500</v>
      </c>
      <c r="R9" s="174">
        <v>6500</v>
      </c>
      <c r="S9" s="174">
        <v>6500</v>
      </c>
      <c r="T9" s="174">
        <v>6500</v>
      </c>
      <c r="U9" s="174">
        <v>6500</v>
      </c>
      <c r="V9" s="174">
        <v>6500</v>
      </c>
      <c r="W9" s="174">
        <v>6500</v>
      </c>
      <c r="X9" s="174">
        <v>6500</v>
      </c>
      <c r="Y9" s="174">
        <v>6500</v>
      </c>
      <c r="Z9" s="174">
        <v>6500</v>
      </c>
      <c r="AA9" s="175">
        <v>6500</v>
      </c>
    </row>
    <row r="10" spans="1:27">
      <c r="B10" s="107" t="s">
        <v>96</v>
      </c>
      <c r="C10" s="174"/>
      <c r="D10" s="174"/>
      <c r="E10" s="174"/>
      <c r="F10" s="174"/>
      <c r="G10" s="174">
        <v>614613.33363679994</v>
      </c>
      <c r="H10" s="174"/>
      <c r="I10" s="174"/>
      <c r="J10" s="174"/>
      <c r="K10" s="174"/>
      <c r="L10" s="174"/>
      <c r="M10" s="174"/>
      <c r="N10" s="174"/>
      <c r="O10" s="174"/>
      <c r="P10" s="174"/>
      <c r="Q10" s="174">
        <v>100000</v>
      </c>
      <c r="R10" s="174"/>
      <c r="S10" s="174"/>
      <c r="T10" s="174"/>
      <c r="U10" s="174"/>
      <c r="V10" s="174"/>
      <c r="W10" s="174"/>
      <c r="X10" s="174"/>
      <c r="Y10" s="174"/>
      <c r="Z10" s="174"/>
      <c r="AA10" s="175"/>
    </row>
    <row r="11" spans="1:27">
      <c r="B11" s="107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5"/>
    </row>
    <row r="12" spans="1:27">
      <c r="B12" s="107" t="s">
        <v>97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5"/>
    </row>
    <row r="13" spans="1:27">
      <c r="B13" s="110" t="s">
        <v>98</v>
      </c>
      <c r="C13" s="176">
        <f>SUM(C8:C12)</f>
        <v>12928.04</v>
      </c>
      <c r="D13" s="176">
        <f t="shared" ref="D13:AA13" si="0">SUM(D8:D12)</f>
        <v>28179.47</v>
      </c>
      <c r="E13" s="176">
        <f t="shared" si="0"/>
        <v>13199.34</v>
      </c>
      <c r="F13" s="176"/>
      <c r="G13" s="176">
        <f t="shared" si="0"/>
        <v>614613.33363679994</v>
      </c>
      <c r="H13" s="176">
        <f t="shared" si="0"/>
        <v>0</v>
      </c>
      <c r="I13" s="176">
        <f t="shared" si="0"/>
        <v>0</v>
      </c>
      <c r="J13" s="176">
        <f t="shared" si="0"/>
        <v>6500</v>
      </c>
      <c r="K13" s="176">
        <f t="shared" si="0"/>
        <v>6500</v>
      </c>
      <c r="L13" s="176">
        <f t="shared" si="0"/>
        <v>6500</v>
      </c>
      <c r="M13" s="176">
        <f t="shared" si="0"/>
        <v>6500</v>
      </c>
      <c r="N13" s="176">
        <f t="shared" si="0"/>
        <v>6500</v>
      </c>
      <c r="O13" s="176">
        <f t="shared" si="0"/>
        <v>6500</v>
      </c>
      <c r="P13" s="176">
        <f t="shared" si="0"/>
        <v>6500</v>
      </c>
      <c r="Q13" s="176">
        <f t="shared" si="0"/>
        <v>106500</v>
      </c>
      <c r="R13" s="176">
        <f t="shared" si="0"/>
        <v>6500</v>
      </c>
      <c r="S13" s="176">
        <f t="shared" si="0"/>
        <v>6500</v>
      </c>
      <c r="T13" s="176">
        <f t="shared" si="0"/>
        <v>6500</v>
      </c>
      <c r="U13" s="176">
        <f t="shared" si="0"/>
        <v>6500</v>
      </c>
      <c r="V13" s="176">
        <f t="shared" si="0"/>
        <v>6500</v>
      </c>
      <c r="W13" s="176">
        <f t="shared" si="0"/>
        <v>6500</v>
      </c>
      <c r="X13" s="176">
        <f t="shared" si="0"/>
        <v>6500</v>
      </c>
      <c r="Y13" s="176">
        <f t="shared" si="0"/>
        <v>6500</v>
      </c>
      <c r="Z13" s="176">
        <f t="shared" si="0"/>
        <v>6500</v>
      </c>
      <c r="AA13" s="177">
        <f t="shared" si="0"/>
        <v>6500</v>
      </c>
    </row>
    <row r="14" spans="1:27"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</row>
    <row r="15" spans="1:27">
      <c r="A15" s="71" t="s">
        <v>99</v>
      </c>
      <c r="B15" s="104" t="s">
        <v>100</v>
      </c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3"/>
    </row>
    <row r="16" spans="1:27">
      <c r="B16" s="107" t="s">
        <v>101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5"/>
    </row>
    <row r="17" spans="1:27">
      <c r="B17" s="107" t="s">
        <v>102</v>
      </c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5"/>
    </row>
    <row r="18" spans="1:27">
      <c r="B18" s="107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5"/>
    </row>
    <row r="19" spans="1:27">
      <c r="B19" s="107" t="s">
        <v>97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5"/>
    </row>
    <row r="20" spans="1:27">
      <c r="B20" s="110" t="s">
        <v>112</v>
      </c>
      <c r="C20" s="176">
        <f>SUM(C15:C19)</f>
        <v>0</v>
      </c>
      <c r="D20" s="176">
        <f>SUM(D15:D19)</f>
        <v>0</v>
      </c>
      <c r="E20" s="176">
        <f>SUM(E15:E19)</f>
        <v>0</v>
      </c>
      <c r="F20" s="176"/>
      <c r="G20" s="176">
        <f t="shared" ref="G20:AA20" si="1">SUM(G15:G19)</f>
        <v>0</v>
      </c>
      <c r="H20" s="176">
        <f t="shared" si="1"/>
        <v>0</v>
      </c>
      <c r="I20" s="176">
        <f t="shared" si="1"/>
        <v>0</v>
      </c>
      <c r="J20" s="176">
        <f t="shared" si="1"/>
        <v>0</v>
      </c>
      <c r="K20" s="176">
        <f t="shared" si="1"/>
        <v>0</v>
      </c>
      <c r="L20" s="176">
        <f t="shared" si="1"/>
        <v>0</v>
      </c>
      <c r="M20" s="176">
        <f t="shared" si="1"/>
        <v>0</v>
      </c>
      <c r="N20" s="176">
        <f t="shared" si="1"/>
        <v>0</v>
      </c>
      <c r="O20" s="176">
        <f t="shared" si="1"/>
        <v>0</v>
      </c>
      <c r="P20" s="176">
        <f t="shared" si="1"/>
        <v>0</v>
      </c>
      <c r="Q20" s="176">
        <f t="shared" si="1"/>
        <v>0</v>
      </c>
      <c r="R20" s="176">
        <f t="shared" si="1"/>
        <v>0</v>
      </c>
      <c r="S20" s="176">
        <f t="shared" si="1"/>
        <v>0</v>
      </c>
      <c r="T20" s="176">
        <f t="shared" si="1"/>
        <v>0</v>
      </c>
      <c r="U20" s="176">
        <f t="shared" si="1"/>
        <v>0</v>
      </c>
      <c r="V20" s="176">
        <f t="shared" si="1"/>
        <v>0</v>
      </c>
      <c r="W20" s="176">
        <f t="shared" si="1"/>
        <v>0</v>
      </c>
      <c r="X20" s="176">
        <f t="shared" si="1"/>
        <v>0</v>
      </c>
      <c r="Y20" s="176">
        <f t="shared" si="1"/>
        <v>0</v>
      </c>
      <c r="Z20" s="176">
        <f t="shared" si="1"/>
        <v>0</v>
      </c>
      <c r="AA20" s="177">
        <f t="shared" si="1"/>
        <v>0</v>
      </c>
    </row>
    <row r="21" spans="1:27"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</row>
    <row r="22" spans="1:27">
      <c r="B22" s="71" t="s">
        <v>104</v>
      </c>
      <c r="C22" s="166"/>
      <c r="D22" s="166"/>
      <c r="E22" s="166"/>
      <c r="F22" s="167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</row>
    <row r="23" spans="1:27"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</row>
    <row r="24" spans="1:27"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</row>
    <row r="25" spans="1:27">
      <c r="A25" s="71" t="s">
        <v>113</v>
      </c>
      <c r="B25" s="104" t="s">
        <v>106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3"/>
    </row>
    <row r="26" spans="1:27">
      <c r="B26" s="107" t="s">
        <v>107</v>
      </c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5"/>
    </row>
    <row r="27" spans="1:27">
      <c r="B27" s="107" t="s">
        <v>108</v>
      </c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5"/>
    </row>
    <row r="28" spans="1:27">
      <c r="B28" s="107" t="s">
        <v>109</v>
      </c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5"/>
    </row>
    <row r="29" spans="1:27">
      <c r="B29" s="107" t="s">
        <v>110</v>
      </c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5"/>
    </row>
    <row r="30" spans="1:27">
      <c r="B30" s="107" t="s">
        <v>111</v>
      </c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78"/>
    </row>
    <row r="31" spans="1:27">
      <c r="B31" s="110" t="s">
        <v>32</v>
      </c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80"/>
    </row>
    <row r="33" spans="2:2">
      <c r="B33" s="71" t="s">
        <v>103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2010</vt:lpstr>
      <vt:lpstr>Direct</vt:lpstr>
      <vt:lpstr>Ord</vt:lpstr>
      <vt:lpstr>Extr</vt:lpstr>
      <vt:lpstr>2011</vt:lpstr>
      <vt:lpstr>Ord 11</vt:lpstr>
      <vt:lpstr>Prinicpios</vt:lpstr>
      <vt:lpstr>Tesoreria</vt:lpstr>
      <vt:lpstr>'2010'!Zone_d_impression</vt:lpstr>
    </vt:vector>
  </TitlesOfParts>
  <Company>E.ON 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a27034</dc:creator>
  <cp:lastModifiedBy>AHS</cp:lastModifiedBy>
  <cp:lastPrinted>2011-04-05T11:59:50Z</cp:lastPrinted>
  <dcterms:created xsi:type="dcterms:W3CDTF">2010-01-14T15:18:10Z</dcterms:created>
  <dcterms:modified xsi:type="dcterms:W3CDTF">2011-05-26T20:29:02Z</dcterms:modified>
</cp:coreProperties>
</file>