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30" windowWidth="15255" windowHeight="8010" firstSheet="1" activeTab="4"/>
  </bookViews>
  <sheets>
    <sheet name="Conso Séolis" sheetId="4" r:id="rId1"/>
    <sheet name="Pré valo Séolis" sheetId="9" r:id="rId2"/>
    <sheet name="Conso Sorégies" sheetId="8" r:id="rId3"/>
    <sheet name="Social Sorégies" sheetId="11" r:id="rId4"/>
    <sheet name="Pré valo Sorégies" sheetId="10" r:id="rId5"/>
    <sheet name="BZP avec remb ant4,97 puis 5,5" sheetId="12" r:id="rId6"/>
    <sheet name="emprunt bzp2 (4,97)" sheetId="13" r:id="rId7"/>
  </sheets>
  <externalReferences>
    <externalReference r:id="rId8"/>
  </externalReferences>
  <definedNames>
    <definedName name="capital1">#REF!</definedName>
    <definedName name="durée1">#REF!</definedName>
    <definedName name="_xlnm.Print_Titles" localSheetId="5">'BZP avec remb ant4,97 puis 5,5'!$B:$F</definedName>
    <definedName name="taux1">#REF!</definedName>
    <definedName name="_xlnm.Print_Area" localSheetId="5">'BZP avec remb ant4,97 puis 5,5'!$A$1:$AG$94</definedName>
    <definedName name="_xlnm.Print_Area" localSheetId="6">'emprunt bzp2 (4,97)'!$A$1:$T$32</definedName>
  </definedNames>
  <calcPr calcId="144525"/>
</workbook>
</file>

<file path=xl/calcChain.xml><?xml version="1.0" encoding="utf-8"?>
<calcChain xmlns="http://schemas.openxmlformats.org/spreadsheetml/2006/main">
  <c r="H103" i="12" l="1"/>
  <c r="T15" i="10"/>
  <c r="N28" i="10"/>
  <c r="U15" i="9"/>
  <c r="N23" i="9"/>
  <c r="J24" i="10" l="1"/>
  <c r="I24" i="10"/>
  <c r="H24" i="10"/>
  <c r="G24" i="10"/>
  <c r="F24" i="10"/>
  <c r="K27" i="10"/>
  <c r="J27" i="10"/>
  <c r="I27" i="10"/>
  <c r="H27" i="10"/>
  <c r="G27" i="10"/>
  <c r="F27" i="10"/>
  <c r="F11" i="10"/>
  <c r="G11" i="10"/>
  <c r="F29" i="10"/>
  <c r="F8" i="10"/>
  <c r="G8" i="10" s="1"/>
  <c r="H8" i="10" s="1"/>
  <c r="I8" i="10" s="1"/>
  <c r="J8" i="10" s="1"/>
  <c r="G7" i="9"/>
  <c r="G22" i="9"/>
  <c r="H22" i="9"/>
  <c r="I22" i="9" s="1"/>
  <c r="J22" i="9" s="1"/>
  <c r="K22" i="9" s="1"/>
  <c r="L22" i="9" s="1"/>
  <c r="U41" i="9"/>
  <c r="V41" i="9" s="1"/>
  <c r="S41" i="9"/>
  <c r="R41" i="9" s="1"/>
  <c r="R13" i="9"/>
  <c r="U13" i="9"/>
  <c r="V13" i="9"/>
  <c r="V6" i="9" s="1"/>
  <c r="V11" i="9" s="1"/>
  <c r="V12" i="9"/>
  <c r="V10" i="9"/>
  <c r="V9" i="9"/>
  <c r="R42" i="10"/>
  <c r="Q42" i="10" s="1"/>
  <c r="T42" i="10"/>
  <c r="U42" i="10" s="1"/>
  <c r="V15" i="9" l="1"/>
  <c r="U4" i="9"/>
  <c r="H23" i="9"/>
  <c r="U3" i="9"/>
  <c r="C13" i="9"/>
  <c r="L23" i="9"/>
  <c r="N11" i="9"/>
  <c r="N9" i="9"/>
  <c r="N7" i="9"/>
  <c r="O5" i="9"/>
  <c r="S31" i="10"/>
  <c r="E184" i="8"/>
  <c r="E183" i="8"/>
  <c r="R3" i="9"/>
  <c r="U74" i="10"/>
  <c r="V79" i="10" s="1"/>
  <c r="J76" i="10"/>
  <c r="J79" i="10"/>
  <c r="T6" i="10"/>
  <c r="U6" i="9"/>
  <c r="H25" i="10"/>
  <c r="G25" i="10"/>
  <c r="F25" i="10"/>
  <c r="F28" i="10" s="1"/>
  <c r="J25" i="10"/>
  <c r="J28" i="10" s="1"/>
  <c r="I25" i="10"/>
  <c r="U11" i="9" l="1"/>
  <c r="G11" i="9"/>
  <c r="G13" i="9" s="1"/>
  <c r="F39" i="10"/>
  <c r="J77" i="10" s="1"/>
  <c r="U10" i="9"/>
  <c r="U9" i="9"/>
  <c r="U13" i="10" l="1"/>
  <c r="U12" i="10"/>
  <c r="T9" i="10"/>
  <c r="W71" i="10"/>
  <c r="V82" i="10" s="1"/>
  <c r="K25" i="10"/>
  <c r="K28" i="10" s="1"/>
  <c r="D8" i="10"/>
  <c r="D11" i="10"/>
  <c r="O102" i="10"/>
  <c r="Q100" i="10"/>
  <c r="O99" i="10"/>
  <c r="O101" i="10" s="1"/>
  <c r="H28" i="10"/>
  <c r="G28" i="10"/>
  <c r="O97" i="10"/>
  <c r="R92" i="10"/>
  <c r="Q91" i="10"/>
  <c r="Q92" i="10"/>
  <c r="H60" i="11"/>
  <c r="G60" i="11"/>
  <c r="F60" i="11"/>
  <c r="H40" i="11"/>
  <c r="H41" i="11"/>
  <c r="G40" i="11"/>
  <c r="F40" i="11"/>
  <c r="G41" i="11"/>
  <c r="E116" i="11"/>
  <c r="E60" i="11"/>
  <c r="E62" i="11" s="1"/>
  <c r="F25" i="11"/>
  <c r="C27" i="11"/>
  <c r="F14" i="11"/>
  <c r="F16" i="11"/>
  <c r="F8" i="11"/>
  <c r="G8" i="11" s="1"/>
  <c r="H8" i="11" s="1"/>
  <c r="F7" i="11"/>
  <c r="G7" i="11" s="1"/>
  <c r="H7" i="11" s="1"/>
  <c r="E9" i="11"/>
  <c r="E8" i="11"/>
  <c r="G29" i="9" l="1"/>
  <c r="H29" i="9" s="1"/>
  <c r="Q99" i="10"/>
  <c r="T11" i="10"/>
  <c r="U9" i="10"/>
  <c r="U6" i="10"/>
  <c r="U11" i="10" s="1"/>
  <c r="U10" i="10"/>
  <c r="T10" i="10"/>
  <c r="Q90" i="10"/>
  <c r="Q101" i="10" s="1"/>
  <c r="R91" i="10"/>
  <c r="T91" i="10" s="1"/>
  <c r="H98" i="12"/>
  <c r="L101" i="12"/>
  <c r="M101" i="12"/>
  <c r="N101" i="12" s="1"/>
  <c r="O101" i="12" s="1"/>
  <c r="P101" i="12" s="1"/>
  <c r="Q101" i="12" s="1"/>
  <c r="R101" i="12" s="1"/>
  <c r="S101" i="12" s="1"/>
  <c r="T101" i="12" s="1"/>
  <c r="U101" i="12" s="1"/>
  <c r="V101" i="12" s="1"/>
  <c r="W101" i="12" s="1"/>
  <c r="X101" i="12" s="1"/>
  <c r="Y101" i="12" s="1"/>
  <c r="Z101" i="12" s="1"/>
  <c r="AA101" i="12" s="1"/>
  <c r="AB101" i="12" s="1"/>
  <c r="AC101" i="12" s="1"/>
  <c r="AD101" i="12" s="1"/>
  <c r="AE101" i="12" s="1"/>
  <c r="K101" i="12"/>
  <c r="K98" i="12"/>
  <c r="L98" i="12"/>
  <c r="M98" i="12"/>
  <c r="N98" i="12"/>
  <c r="O98" i="12"/>
  <c r="P98" i="12"/>
  <c r="Q98" i="12"/>
  <c r="R98" i="12"/>
  <c r="S98" i="12"/>
  <c r="T98" i="12"/>
  <c r="U98" i="12"/>
  <c r="V98" i="12"/>
  <c r="W98" i="12"/>
  <c r="X98" i="12"/>
  <c r="Y98" i="12"/>
  <c r="Z98" i="12"/>
  <c r="AA98" i="12"/>
  <c r="AB98" i="12"/>
  <c r="AC98" i="12"/>
  <c r="AD98" i="12"/>
  <c r="AE98" i="12"/>
  <c r="K105" i="12"/>
  <c r="J98" i="12"/>
  <c r="I101" i="12"/>
  <c r="I98" i="12"/>
  <c r="J27" i="13"/>
  <c r="L22" i="13"/>
  <c r="G5" i="13"/>
  <c r="G6" i="13" s="1"/>
  <c r="G7" i="13" s="1"/>
  <c r="G8" i="13" s="1"/>
  <c r="G9" i="13" s="1"/>
  <c r="G10" i="13" s="1"/>
  <c r="G11" i="13" s="1"/>
  <c r="G12" i="13" s="1"/>
  <c r="G13" i="13" s="1"/>
  <c r="G14" i="13" s="1"/>
  <c r="G15" i="13" s="1"/>
  <c r="G16" i="13" s="1"/>
  <c r="G17" i="13" s="1"/>
  <c r="G18" i="13" s="1"/>
  <c r="G19" i="13" s="1"/>
  <c r="G20" i="13" s="1"/>
  <c r="G21" i="13" s="1"/>
  <c r="G22" i="13" s="1"/>
  <c r="G23" i="13" s="1"/>
  <c r="G24" i="13" s="1"/>
  <c r="G25" i="13" s="1"/>
  <c r="G26" i="13" s="1"/>
  <c r="G27" i="13" s="1"/>
  <c r="S3" i="13"/>
  <c r="Q3" i="13"/>
  <c r="R3" i="13" s="1"/>
  <c r="P3" i="13"/>
  <c r="P4" i="13" s="1"/>
  <c r="Q4" i="13" s="1"/>
  <c r="R4" i="13" s="1"/>
  <c r="K3" i="13"/>
  <c r="H4" i="13" s="1"/>
  <c r="J3" i="13"/>
  <c r="J4" i="13" s="1"/>
  <c r="J5" i="13" s="1"/>
  <c r="J6" i="13" s="1"/>
  <c r="J7" i="13" s="1"/>
  <c r="J8" i="13" s="1"/>
  <c r="J9" i="13" s="1"/>
  <c r="J10" i="13" s="1"/>
  <c r="J11" i="13" s="1"/>
  <c r="J12" i="13" s="1"/>
  <c r="J13" i="13" s="1"/>
  <c r="J14" i="13" s="1"/>
  <c r="J15" i="13" s="1"/>
  <c r="J16" i="13" s="1"/>
  <c r="J17" i="13" s="1"/>
  <c r="J18" i="13" s="1"/>
  <c r="J19" i="13" s="1"/>
  <c r="J20" i="13" s="1"/>
  <c r="J21" i="13" s="1"/>
  <c r="J22" i="13" s="1"/>
  <c r="J23" i="13" s="1"/>
  <c r="J24" i="13" s="1"/>
  <c r="J25" i="13" s="1"/>
  <c r="J26" i="13" s="1"/>
  <c r="G3" i="13"/>
  <c r="G4" i="13" s="1"/>
  <c r="Q2" i="13"/>
  <c r="L2" i="13"/>
  <c r="J2" i="13"/>
  <c r="K2" i="13" s="1"/>
  <c r="H3" i="13" s="1"/>
  <c r="I3" i="13" s="1"/>
  <c r="I2" i="13"/>
  <c r="H86" i="12"/>
  <c r="G75" i="12"/>
  <c r="AF75" i="12" s="1"/>
  <c r="AE59" i="12"/>
  <c r="AD59" i="12"/>
  <c r="AC59" i="12"/>
  <c r="AB59" i="12"/>
  <c r="AA59" i="12"/>
  <c r="Z59" i="12"/>
  <c r="Y59" i="12"/>
  <c r="X59" i="12"/>
  <c r="W59" i="12"/>
  <c r="V59" i="12"/>
  <c r="U59" i="12"/>
  <c r="T59" i="12"/>
  <c r="S59" i="12"/>
  <c r="R59" i="12"/>
  <c r="Q59" i="12"/>
  <c r="P59" i="12"/>
  <c r="O59" i="12"/>
  <c r="N59" i="12"/>
  <c r="M59" i="12"/>
  <c r="L59" i="12"/>
  <c r="K59" i="12"/>
  <c r="J59" i="12"/>
  <c r="I59" i="12"/>
  <c r="H59" i="12"/>
  <c r="G59" i="12"/>
  <c r="AF59" i="12" s="1"/>
  <c r="AG59" i="12" s="1"/>
  <c r="AE49" i="12"/>
  <c r="AD49" i="12"/>
  <c r="AC49" i="12"/>
  <c r="AB49" i="12"/>
  <c r="AA49" i="12"/>
  <c r="Z49" i="12"/>
  <c r="Y49" i="12"/>
  <c r="X49" i="12"/>
  <c r="W49" i="12"/>
  <c r="V49" i="12"/>
  <c r="U49" i="12"/>
  <c r="T49" i="12"/>
  <c r="S49" i="12"/>
  <c r="R49" i="12"/>
  <c r="Q49" i="12"/>
  <c r="P49" i="12"/>
  <c r="O49" i="12"/>
  <c r="N49" i="12"/>
  <c r="M49" i="12"/>
  <c r="L49" i="12"/>
  <c r="K49" i="12"/>
  <c r="I49" i="12"/>
  <c r="H49" i="12"/>
  <c r="H48" i="12"/>
  <c r="G48" i="12"/>
  <c r="I47" i="12"/>
  <c r="H47" i="12"/>
  <c r="G47" i="12"/>
  <c r="H44" i="12"/>
  <c r="G44" i="12"/>
  <c r="H43" i="12"/>
  <c r="G43" i="12"/>
  <c r="I39" i="12"/>
  <c r="I48" i="12" s="1"/>
  <c r="G34" i="12"/>
  <c r="G30" i="12"/>
  <c r="G49" i="12" s="1"/>
  <c r="D27" i="12"/>
  <c r="L26" i="12"/>
  <c r="M26" i="12" s="1"/>
  <c r="N26" i="12" s="1"/>
  <c r="O26" i="12" s="1"/>
  <c r="P26" i="12" s="1"/>
  <c r="K26" i="12"/>
  <c r="D26" i="12"/>
  <c r="H1" i="12"/>
  <c r="H34" i="12" s="1"/>
  <c r="K8" i="10"/>
  <c r="C57" i="11"/>
  <c r="C51" i="11"/>
  <c r="C45" i="11"/>
  <c r="C56" i="11"/>
  <c r="C55" i="11"/>
  <c r="C54" i="11"/>
  <c r="C53" i="11"/>
  <c r="F34" i="10" l="1"/>
  <c r="G34" i="10" s="1"/>
  <c r="H34" i="10" s="1"/>
  <c r="I34" i="10" s="1"/>
  <c r="J34" i="10" s="1"/>
  <c r="K34" i="10" s="1"/>
  <c r="R90" i="10"/>
  <c r="Q102" i="10"/>
  <c r="U15" i="10"/>
  <c r="Q105" i="12"/>
  <c r="G50" i="12"/>
  <c r="H50" i="12"/>
  <c r="H51" i="12" s="1"/>
  <c r="Q26" i="12"/>
  <c r="R26" i="12" s="1"/>
  <c r="S26" i="12" s="1"/>
  <c r="T26" i="12" s="1"/>
  <c r="H38" i="12"/>
  <c r="H45" i="12" s="1"/>
  <c r="I1" i="12"/>
  <c r="G38" i="12"/>
  <c r="G45" i="12" s="1"/>
  <c r="I38" i="12"/>
  <c r="J39" i="12"/>
  <c r="G51" i="12"/>
  <c r="I44" i="12"/>
  <c r="I50" i="12" s="1"/>
  <c r="I51" i="12" s="1"/>
  <c r="J47" i="12"/>
  <c r="N17" i="13"/>
  <c r="N15" i="13"/>
  <c r="N13" i="13"/>
  <c r="N11" i="13"/>
  <c r="N9" i="13"/>
  <c r="N7" i="13"/>
  <c r="N5" i="13"/>
  <c r="N3" i="13"/>
  <c r="N2" i="13"/>
  <c r="O2" i="13" s="1"/>
  <c r="N19" i="13"/>
  <c r="N16" i="13"/>
  <c r="N14" i="13"/>
  <c r="N12" i="13"/>
  <c r="N10" i="13"/>
  <c r="N8" i="13"/>
  <c r="N6" i="13"/>
  <c r="N4" i="13"/>
  <c r="M2" i="13"/>
  <c r="N18" i="13"/>
  <c r="K4" i="13"/>
  <c r="H5" i="13" s="1"/>
  <c r="I4" i="13"/>
  <c r="S2" i="13"/>
  <c r="T2" i="13" s="1"/>
  <c r="R2" i="13"/>
  <c r="J28" i="13"/>
  <c r="S4" i="13"/>
  <c r="P5" i="13"/>
  <c r="N22" i="13"/>
  <c r="O22" i="13" s="1"/>
  <c r="L23" i="13" s="1"/>
  <c r="M22" i="13"/>
  <c r="AA60" i="12" s="1"/>
  <c r="AA65" i="12" s="1"/>
  <c r="C110" i="11"/>
  <c r="C111" i="11" s="1"/>
  <c r="C108" i="11"/>
  <c r="C109" i="11" s="1"/>
  <c r="C106" i="11"/>
  <c r="C107" i="11" s="1"/>
  <c r="C104" i="11"/>
  <c r="C115" i="11" s="1"/>
  <c r="E104" i="11"/>
  <c r="C40" i="11"/>
  <c r="C50" i="11"/>
  <c r="C49" i="11"/>
  <c r="C48" i="11"/>
  <c r="C47" i="11"/>
  <c r="C28" i="11"/>
  <c r="C19" i="11"/>
  <c r="C9" i="11"/>
  <c r="N5" i="10"/>
  <c r="H183" i="4"/>
  <c r="H181" i="4"/>
  <c r="B105" i="12" l="1"/>
  <c r="H105" i="12" s="1"/>
  <c r="I105" i="12" s="1"/>
  <c r="J105" i="12" s="1"/>
  <c r="W105" i="12"/>
  <c r="O23" i="13"/>
  <c r="L24" i="13" s="1"/>
  <c r="M23" i="13"/>
  <c r="AB60" i="12" s="1"/>
  <c r="AB65" i="12" s="1"/>
  <c r="I46" i="12"/>
  <c r="I5" i="13"/>
  <c r="K5" i="13"/>
  <c r="H6" i="13" s="1"/>
  <c r="G46" i="12"/>
  <c r="G64" i="12" s="1"/>
  <c r="J48" i="12"/>
  <c r="K39" i="12"/>
  <c r="J44" i="12"/>
  <c r="J50" i="12" s="1"/>
  <c r="U26" i="12"/>
  <c r="H46" i="12"/>
  <c r="H58" i="12" s="1"/>
  <c r="H97" i="12" s="1"/>
  <c r="P6" i="13"/>
  <c r="Q5" i="13"/>
  <c r="R5" i="13" s="1"/>
  <c r="S5" i="13"/>
  <c r="G60" i="12"/>
  <c r="I45" i="12"/>
  <c r="J1" i="12"/>
  <c r="I43" i="12"/>
  <c r="I34" i="12"/>
  <c r="C112" i="11"/>
  <c r="C113" i="11" s="1"/>
  <c r="C105" i="11"/>
  <c r="C30" i="11"/>
  <c r="C38" i="11" s="1"/>
  <c r="C60" i="11" s="1"/>
  <c r="F57" i="11"/>
  <c r="G57" i="11" s="1"/>
  <c r="H57" i="11" s="1"/>
  <c r="F54" i="11"/>
  <c r="G54" i="11" s="1"/>
  <c r="H54" i="11" s="1"/>
  <c r="F55" i="11"/>
  <c r="G55" i="11" s="1"/>
  <c r="H55" i="11" s="1"/>
  <c r="F48" i="11"/>
  <c r="G48" i="11" s="1"/>
  <c r="H48" i="11" s="1"/>
  <c r="F49" i="11"/>
  <c r="G49" i="11" s="1"/>
  <c r="H49" i="11" s="1"/>
  <c r="F50" i="11"/>
  <c r="G50" i="11" s="1"/>
  <c r="H50" i="11" s="1"/>
  <c r="F47" i="11"/>
  <c r="G47" i="11" s="1"/>
  <c r="H47" i="11" s="1"/>
  <c r="M45" i="11"/>
  <c r="N45" i="11"/>
  <c r="L45" i="11"/>
  <c r="F33" i="11"/>
  <c r="F34" i="11"/>
  <c r="G34" i="11" s="1"/>
  <c r="H34" i="11" s="1"/>
  <c r="F36" i="11"/>
  <c r="G36" i="11" s="1"/>
  <c r="H36" i="11" s="1"/>
  <c r="F32" i="11"/>
  <c r="G32" i="11" s="1"/>
  <c r="H32" i="11" s="1"/>
  <c r="F22" i="11"/>
  <c r="G22" i="11" s="1"/>
  <c r="F23" i="11"/>
  <c r="G23" i="11" s="1"/>
  <c r="H23" i="11" s="1"/>
  <c r="F24" i="11"/>
  <c r="G24" i="11" s="1"/>
  <c r="H24" i="11" s="1"/>
  <c r="H25" i="11"/>
  <c r="F26" i="11"/>
  <c r="G26" i="11" s="1"/>
  <c r="H26" i="11" s="1"/>
  <c r="F27" i="11"/>
  <c r="G27" i="11" s="1"/>
  <c r="H27" i="11" s="1"/>
  <c r="F21" i="11"/>
  <c r="G21" i="11" s="1"/>
  <c r="H21" i="11" s="1"/>
  <c r="F18" i="11"/>
  <c r="G18" i="11" s="1"/>
  <c r="E11" i="11"/>
  <c r="F11" i="11" s="1"/>
  <c r="G11" i="11" s="1"/>
  <c r="H11" i="11" s="1"/>
  <c r="F15" i="11"/>
  <c r="G15" i="11" s="1"/>
  <c r="H15" i="11" s="1"/>
  <c r="F13" i="11"/>
  <c r="G13" i="11" s="1"/>
  <c r="H13" i="11" s="1"/>
  <c r="E19" i="11"/>
  <c r="F17" i="11"/>
  <c r="G17" i="11" s="1"/>
  <c r="F5" i="11"/>
  <c r="G5" i="11" s="1"/>
  <c r="H5" i="11" s="1"/>
  <c r="N105" i="12" l="1"/>
  <c r="T105" i="12" s="1"/>
  <c r="U105" i="12" s="1"/>
  <c r="L105" i="12"/>
  <c r="M105" i="12" s="1"/>
  <c r="R105" i="12"/>
  <c r="S105" i="12" s="1"/>
  <c r="H64" i="12"/>
  <c r="I64" i="12"/>
  <c r="C69" i="11"/>
  <c r="C61" i="11"/>
  <c r="D7" i="10" s="1"/>
  <c r="D9" i="10" s="1"/>
  <c r="D13" i="10" s="1"/>
  <c r="H99" i="12"/>
  <c r="H100" i="12" s="1"/>
  <c r="X105" i="12"/>
  <c r="AC105" i="12"/>
  <c r="G58" i="12"/>
  <c r="J51" i="12"/>
  <c r="J46" i="12" s="1"/>
  <c r="K48" i="12"/>
  <c r="L39" i="12"/>
  <c r="K44" i="12"/>
  <c r="K47" i="12"/>
  <c r="O24" i="13"/>
  <c r="L25" i="13" s="1"/>
  <c r="M24" i="13"/>
  <c r="AC60" i="12" s="1"/>
  <c r="AC65" i="12" s="1"/>
  <c r="G65" i="12"/>
  <c r="P7" i="13"/>
  <c r="Q6" i="13"/>
  <c r="R6" i="13" s="1"/>
  <c r="V26" i="12"/>
  <c r="I58" i="12"/>
  <c r="I97" i="12" s="1"/>
  <c r="J43" i="12"/>
  <c r="J34" i="12"/>
  <c r="K1" i="12"/>
  <c r="J38" i="12"/>
  <c r="K6" i="13"/>
  <c r="H7" i="13" s="1"/>
  <c r="I6" i="13"/>
  <c r="F10" i="11"/>
  <c r="F12" i="11" s="1"/>
  <c r="F41" i="11" s="1"/>
  <c r="G44" i="11"/>
  <c r="G110" i="11" s="1"/>
  <c r="G111" i="11" s="1"/>
  <c r="H18" i="11"/>
  <c r="F44" i="11"/>
  <c r="F110" i="11" s="1"/>
  <c r="F111" i="11" s="1"/>
  <c r="H51" i="11"/>
  <c r="G51" i="11"/>
  <c r="G28" i="11"/>
  <c r="H22" i="11"/>
  <c r="H28" i="11" s="1"/>
  <c r="F28" i="11"/>
  <c r="F51" i="11"/>
  <c r="G33" i="11"/>
  <c r="F9" i="11"/>
  <c r="F104" i="11" s="1"/>
  <c r="F43" i="11"/>
  <c r="F108" i="11" s="1"/>
  <c r="F109" i="11" s="1"/>
  <c r="H9" i="11"/>
  <c r="H104" i="11" s="1"/>
  <c r="G14" i="11"/>
  <c r="G42" i="11" s="1"/>
  <c r="H17" i="11"/>
  <c r="G43" i="11"/>
  <c r="G108" i="11" s="1"/>
  <c r="G109" i="11" s="1"/>
  <c r="E107" i="11"/>
  <c r="E105" i="11"/>
  <c r="E108" i="11"/>
  <c r="E109" i="11" s="1"/>
  <c r="E106" i="11"/>
  <c r="E115" i="11" s="1"/>
  <c r="E110" i="11"/>
  <c r="E111" i="11" s="1"/>
  <c r="C5" i="11"/>
  <c r="E83" i="11"/>
  <c r="E76" i="11"/>
  <c r="E78" i="11"/>
  <c r="E51" i="11"/>
  <c r="E45" i="11"/>
  <c r="E85" i="11"/>
  <c r="E88" i="11" s="1"/>
  <c r="E56" i="11"/>
  <c r="F56" i="11" s="1"/>
  <c r="G56" i="11" s="1"/>
  <c r="H56" i="11" s="1"/>
  <c r="E53" i="11"/>
  <c r="F53" i="11" s="1"/>
  <c r="G53" i="11" s="1"/>
  <c r="H53" i="11" s="1"/>
  <c r="E35" i="11"/>
  <c r="F35" i="11" s="1"/>
  <c r="G35" i="11" s="1"/>
  <c r="H35" i="11" s="1"/>
  <c r="E28" i="11"/>
  <c r="E237" i="11"/>
  <c r="C237" i="11"/>
  <c r="E236" i="11"/>
  <c r="C236" i="11"/>
  <c r="E229" i="11"/>
  <c r="E224" i="11"/>
  <c r="C224" i="11"/>
  <c r="D222" i="11"/>
  <c r="E216" i="11"/>
  <c r="E213" i="11"/>
  <c r="C213" i="11"/>
  <c r="D202" i="11"/>
  <c r="E188" i="11"/>
  <c r="C188" i="11"/>
  <c r="E186" i="11"/>
  <c r="C186" i="11"/>
  <c r="E178" i="11"/>
  <c r="E181" i="11" s="1"/>
  <c r="C178" i="11"/>
  <c r="C181" i="11" s="1"/>
  <c r="E160" i="11"/>
  <c r="C160" i="11"/>
  <c r="E158" i="11"/>
  <c r="C158" i="11"/>
  <c r="E151" i="11"/>
  <c r="C151" i="11"/>
  <c r="E146" i="11"/>
  <c r="C146" i="11"/>
  <c r="E136" i="11"/>
  <c r="C136" i="11"/>
  <c r="E131" i="11"/>
  <c r="E174" i="11" s="1"/>
  <c r="E205" i="11" s="1"/>
  <c r="C131" i="11"/>
  <c r="C174" i="11" s="1"/>
  <c r="C205" i="11" s="1"/>
  <c r="C88" i="11"/>
  <c r="C83" i="11"/>
  <c r="C76" i="11"/>
  <c r="C78" i="11" s="1"/>
  <c r="Z105" i="12" l="1"/>
  <c r="AA105" i="12" s="1"/>
  <c r="O105" i="12"/>
  <c r="P105" i="12" s="1"/>
  <c r="G10" i="11"/>
  <c r="H10" i="11" s="1"/>
  <c r="H12" i="11" s="1"/>
  <c r="V105" i="12"/>
  <c r="AD105" i="12"/>
  <c r="Y105" i="12"/>
  <c r="H107" i="12"/>
  <c r="I7" i="13"/>
  <c r="K7" i="13"/>
  <c r="H8" i="13" s="1"/>
  <c r="J45" i="12"/>
  <c r="P8" i="13"/>
  <c r="Q7" i="13"/>
  <c r="R7" i="13" s="1"/>
  <c r="S7" i="13"/>
  <c r="G66" i="12"/>
  <c r="L48" i="12"/>
  <c r="L44" i="12"/>
  <c r="M39" i="12"/>
  <c r="L47" i="12"/>
  <c r="K34" i="12"/>
  <c r="L1" i="12"/>
  <c r="K43" i="12"/>
  <c r="K38" i="12"/>
  <c r="S6" i="13"/>
  <c r="W26" i="12"/>
  <c r="O25" i="13"/>
  <c r="L26" i="13" s="1"/>
  <c r="M26" i="13" s="1"/>
  <c r="AE60" i="12" s="1"/>
  <c r="AE65" i="12" s="1"/>
  <c r="M25" i="13"/>
  <c r="AD60" i="12" s="1"/>
  <c r="AD65" i="12" s="1"/>
  <c r="K50" i="12"/>
  <c r="K51" i="12" s="1"/>
  <c r="G9" i="11"/>
  <c r="H110" i="11"/>
  <c r="H111" i="11" s="1"/>
  <c r="H44" i="11"/>
  <c r="E112" i="11"/>
  <c r="E113" i="11" s="1"/>
  <c r="H33" i="11"/>
  <c r="H105" i="11"/>
  <c r="F105" i="11"/>
  <c r="C201" i="11"/>
  <c r="E90" i="11"/>
  <c r="F42" i="11"/>
  <c r="F45" i="11" s="1"/>
  <c r="E201" i="11"/>
  <c r="H14" i="11"/>
  <c r="H42" i="11" s="1"/>
  <c r="G16" i="11"/>
  <c r="H43" i="11"/>
  <c r="H108" i="11" s="1"/>
  <c r="H109" i="11" s="1"/>
  <c r="E153" i="11"/>
  <c r="C234" i="11"/>
  <c r="C90" i="11"/>
  <c r="C153" i="11"/>
  <c r="C235" i="11"/>
  <c r="E30" i="11"/>
  <c r="E235" i="11" s="1"/>
  <c r="C207" i="11"/>
  <c r="C215" i="11" s="1"/>
  <c r="C220" i="11" s="1"/>
  <c r="C228" i="11" s="1"/>
  <c r="C168" i="11"/>
  <c r="C232" i="11"/>
  <c r="C233" i="11" s="1"/>
  <c r="E168" i="11"/>
  <c r="E232" i="11"/>
  <c r="I28" i="10"/>
  <c r="C11" i="10"/>
  <c r="B21" i="10"/>
  <c r="N9" i="10"/>
  <c r="N11" i="10" s="1"/>
  <c r="N13" i="10" s="1"/>
  <c r="G3" i="10"/>
  <c r="H3" i="10" s="1"/>
  <c r="I3" i="10" s="1"/>
  <c r="J3" i="10" s="1"/>
  <c r="N24" i="10" l="1"/>
  <c r="K24" i="10" s="1"/>
  <c r="G12" i="11"/>
  <c r="G45" i="11" s="1"/>
  <c r="G104" i="11"/>
  <c r="G105" i="11" s="1"/>
  <c r="AB105" i="12"/>
  <c r="AE105" i="12"/>
  <c r="K46" i="12"/>
  <c r="K64" i="12" s="1"/>
  <c r="M48" i="12"/>
  <c r="M44" i="12"/>
  <c r="N39" i="12"/>
  <c r="M47" i="12"/>
  <c r="K45" i="12"/>
  <c r="K58" i="12" s="1"/>
  <c r="K97" i="12" s="1"/>
  <c r="G70" i="12"/>
  <c r="J64" i="12"/>
  <c r="J58" i="12"/>
  <c r="L43" i="12"/>
  <c r="L34" i="12"/>
  <c r="M1" i="12"/>
  <c r="L38" i="12"/>
  <c r="L50" i="12"/>
  <c r="L51" i="12" s="1"/>
  <c r="K8" i="13"/>
  <c r="H9" i="13" s="1"/>
  <c r="I8" i="13"/>
  <c r="X26" i="12"/>
  <c r="S8" i="13"/>
  <c r="P9" i="13"/>
  <c r="Q8" i="13"/>
  <c r="R8" i="13" s="1"/>
  <c r="F106" i="11"/>
  <c r="F19" i="11"/>
  <c r="F30" i="11" s="1"/>
  <c r="F38" i="11" s="1"/>
  <c r="E170" i="11"/>
  <c r="E202" i="11" s="1"/>
  <c r="H16" i="11"/>
  <c r="H19" i="11" s="1"/>
  <c r="H30" i="11" s="1"/>
  <c r="H38" i="11" s="1"/>
  <c r="H62" i="11" s="1"/>
  <c r="C170" i="11"/>
  <c r="C202" i="11" s="1"/>
  <c r="E103" i="11"/>
  <c r="E38" i="11"/>
  <c r="E69" i="11" s="1"/>
  <c r="E233" i="11"/>
  <c r="E234" i="11"/>
  <c r="C92" i="11"/>
  <c r="C100" i="11" s="1"/>
  <c r="F61" i="11" l="1"/>
  <c r="G7" i="10" s="1"/>
  <c r="F62" i="11"/>
  <c r="H45" i="11"/>
  <c r="H61" i="11" s="1"/>
  <c r="I7" i="10" s="1"/>
  <c r="J7" i="10" s="1"/>
  <c r="J9" i="10" s="1"/>
  <c r="G106" i="11"/>
  <c r="G112" i="11" s="1"/>
  <c r="G19" i="11"/>
  <c r="G30" i="11" s="1"/>
  <c r="G38" i="11" s="1"/>
  <c r="K99" i="12"/>
  <c r="K100" i="12" s="1"/>
  <c r="K103" i="12" s="1"/>
  <c r="K107" i="12" s="1"/>
  <c r="I99" i="12"/>
  <c r="I100" i="12" s="1"/>
  <c r="J97" i="12"/>
  <c r="L46" i="12"/>
  <c r="G71" i="12"/>
  <c r="P10" i="13"/>
  <c r="Q9" i="13"/>
  <c r="R9" i="13" s="1"/>
  <c r="S9" i="13"/>
  <c r="Y26" i="12"/>
  <c r="L45" i="12"/>
  <c r="L64" i="12" s="1"/>
  <c r="M34" i="12"/>
  <c r="M43" i="12"/>
  <c r="N1" i="12"/>
  <c r="M38" i="12"/>
  <c r="I9" i="13"/>
  <c r="K9" i="13"/>
  <c r="H10" i="13" s="1"/>
  <c r="N48" i="12"/>
  <c r="O39" i="12"/>
  <c r="N44" i="12"/>
  <c r="N47" i="12"/>
  <c r="M50" i="12"/>
  <c r="M51" i="12" s="1"/>
  <c r="E92" i="11"/>
  <c r="E61" i="11"/>
  <c r="F7" i="10" s="1"/>
  <c r="F9" i="10" s="1"/>
  <c r="F13" i="10" s="1"/>
  <c r="F15" i="10" s="1"/>
  <c r="G107" i="11"/>
  <c r="F107" i="11"/>
  <c r="F112" i="11"/>
  <c r="F113" i="11" s="1"/>
  <c r="F115" i="11"/>
  <c r="F116" i="11" s="1"/>
  <c r="E207" i="11"/>
  <c r="E215" i="11" s="1"/>
  <c r="E220" i="11" s="1"/>
  <c r="E228" i="11" s="1"/>
  <c r="G61" i="11" l="1"/>
  <c r="H7" i="10" s="1"/>
  <c r="G62" i="11"/>
  <c r="G115" i="11"/>
  <c r="G116" i="11" s="1"/>
  <c r="H106" i="11"/>
  <c r="H107" i="11" s="1"/>
  <c r="G113" i="11"/>
  <c r="J99" i="12"/>
  <c r="J100" i="12" s="1"/>
  <c r="J103" i="12" s="1"/>
  <c r="J107" i="12" s="1"/>
  <c r="I107" i="12"/>
  <c r="I103" i="12"/>
  <c r="M46" i="12"/>
  <c r="M64" i="12" s="1"/>
  <c r="O48" i="12"/>
  <c r="P39" i="12"/>
  <c r="O44" i="12"/>
  <c r="O47" i="12"/>
  <c r="Z26" i="12"/>
  <c r="L58" i="12"/>
  <c r="L97" i="12" s="1"/>
  <c r="K10" i="13"/>
  <c r="H11" i="13" s="1"/>
  <c r="I10" i="13"/>
  <c r="G72" i="12"/>
  <c r="N43" i="12"/>
  <c r="N34" i="12"/>
  <c r="O1" i="12"/>
  <c r="N38" i="12"/>
  <c r="N45" i="12" s="1"/>
  <c r="S10" i="13"/>
  <c r="P11" i="13"/>
  <c r="Q10" i="13"/>
  <c r="R10" i="13" s="1"/>
  <c r="N50" i="12"/>
  <c r="N51" i="12" s="1"/>
  <c r="M45" i="12"/>
  <c r="M58" i="12" s="1"/>
  <c r="M97" i="12" s="1"/>
  <c r="G9" i="10"/>
  <c r="H11" i="10"/>
  <c r="E100" i="11"/>
  <c r="O7" i="9"/>
  <c r="H58" i="9"/>
  <c r="H56" i="9"/>
  <c r="H57" i="9"/>
  <c r="I57" i="9"/>
  <c r="J57" i="9"/>
  <c r="K57" i="9"/>
  <c r="L57" i="9"/>
  <c r="I58" i="9"/>
  <c r="J58" i="9"/>
  <c r="K58" i="9"/>
  <c r="L58" i="9"/>
  <c r="H59" i="9"/>
  <c r="I59" i="9"/>
  <c r="J59" i="9"/>
  <c r="K59" i="9"/>
  <c r="L59" i="9"/>
  <c r="H60" i="9"/>
  <c r="I60" i="9"/>
  <c r="J60" i="9"/>
  <c r="K60" i="9"/>
  <c r="L60" i="9"/>
  <c r="I56" i="9"/>
  <c r="J56" i="9"/>
  <c r="K56" i="9"/>
  <c r="L56" i="9"/>
  <c r="H3" i="9"/>
  <c r="I3" i="9" s="1"/>
  <c r="J3" i="9" s="1"/>
  <c r="K3" i="9" s="1"/>
  <c r="G34" i="9"/>
  <c r="B19" i="9"/>
  <c r="C9" i="9"/>
  <c r="L172" i="4"/>
  <c r="M172" i="4" s="1"/>
  <c r="N172" i="4" s="1"/>
  <c r="O172" i="4" s="1"/>
  <c r="U192" i="4"/>
  <c r="S178" i="4" s="1"/>
  <c r="K179" i="4" s="1"/>
  <c r="Z182" i="4"/>
  <c r="Z183" i="4"/>
  <c r="K159" i="4"/>
  <c r="N194" i="4"/>
  <c r="H191" i="4"/>
  <c r="H192" i="4"/>
  <c r="K12" i="4"/>
  <c r="K11" i="4"/>
  <c r="L7" i="4"/>
  <c r="M7" i="4" s="1"/>
  <c r="I8" i="4"/>
  <c r="I9" i="4"/>
  <c r="I10" i="4"/>
  <c r="I11" i="4"/>
  <c r="I13" i="4"/>
  <c r="I14" i="4"/>
  <c r="I7" i="4"/>
  <c r="D16" i="4"/>
  <c r="H16" i="4"/>
  <c r="F29" i="4"/>
  <c r="F54" i="4"/>
  <c r="F49" i="4"/>
  <c r="C54" i="4"/>
  <c r="C56" i="4" s="1"/>
  <c r="C61" i="4"/>
  <c r="C66" i="4"/>
  <c r="F43" i="4"/>
  <c r="F44" i="4"/>
  <c r="F45" i="4"/>
  <c r="F42" i="4"/>
  <c r="F30" i="4"/>
  <c r="F31" i="4"/>
  <c r="F32" i="4"/>
  <c r="F33" i="4"/>
  <c r="F34" i="4"/>
  <c r="F35" i="4"/>
  <c r="F36" i="4"/>
  <c r="F37" i="4"/>
  <c r="F38" i="4"/>
  <c r="F22" i="4"/>
  <c r="F23" i="4"/>
  <c r="F24" i="4"/>
  <c r="F25" i="4"/>
  <c r="F21" i="4"/>
  <c r="C19" i="4"/>
  <c r="C27" i="4" s="1"/>
  <c r="C40" i="4" s="1"/>
  <c r="C47" i="4" s="1"/>
  <c r="F17" i="4"/>
  <c r="F18" i="4"/>
  <c r="O9" i="9" l="1"/>
  <c r="O11" i="9" s="1"/>
  <c r="N7" i="10"/>
  <c r="H112" i="11"/>
  <c r="H113" i="11" s="1"/>
  <c r="H115" i="11"/>
  <c r="H116" i="11" s="1"/>
  <c r="M99" i="12"/>
  <c r="M100" i="12" s="1"/>
  <c r="M103" i="12" s="1"/>
  <c r="M107" i="12" s="1"/>
  <c r="L99" i="12"/>
  <c r="L100" i="12" s="1"/>
  <c r="L103" i="12"/>
  <c r="L107" i="12" s="1"/>
  <c r="N46" i="12"/>
  <c r="N64" i="12" s="1"/>
  <c r="P48" i="12"/>
  <c r="Q39" i="12"/>
  <c r="P44" i="12"/>
  <c r="P47" i="12"/>
  <c r="O50" i="12"/>
  <c r="O51" i="12" s="1"/>
  <c r="G77" i="12"/>
  <c r="O34" i="12"/>
  <c r="P1" i="12"/>
  <c r="O43" i="12"/>
  <c r="O38" i="12"/>
  <c r="AA26" i="12"/>
  <c r="P12" i="13"/>
  <c r="Q11" i="13"/>
  <c r="R11" i="13" s="1"/>
  <c r="I11" i="13"/>
  <c r="K11" i="13"/>
  <c r="H12" i="13" s="1"/>
  <c r="H9" i="10"/>
  <c r="G13" i="10"/>
  <c r="I11" i="10"/>
  <c r="F56" i="4"/>
  <c r="C68" i="4"/>
  <c r="C70" i="4" s="1"/>
  <c r="C75" i="4" s="1"/>
  <c r="P172" i="4"/>
  <c r="Z185" i="4"/>
  <c r="G9" i="9"/>
  <c r="H9" i="9" s="1"/>
  <c r="I9" i="9" s="1"/>
  <c r="J9" i="9" s="1"/>
  <c r="K9" i="9" s="1"/>
  <c r="I23" i="9"/>
  <c r="J23" i="9" s="1"/>
  <c r="K23" i="9" s="1"/>
  <c r="I29" i="9"/>
  <c r="J29" i="9" s="1"/>
  <c r="K29" i="9" s="1"/>
  <c r="L29" i="9" s="1"/>
  <c r="F16" i="4"/>
  <c r="F19" i="4" s="1"/>
  <c r="F27" i="4" s="1"/>
  <c r="F40" i="4" s="1"/>
  <c r="F47" i="4" s="1"/>
  <c r="T154" i="4"/>
  <c r="U152" i="4"/>
  <c r="U151" i="4"/>
  <c r="U150" i="4"/>
  <c r="T146" i="4"/>
  <c r="T147" i="4" s="1"/>
  <c r="P152" i="4" s="1"/>
  <c r="L184" i="4"/>
  <c r="M184" i="4" s="1"/>
  <c r="T166" i="4"/>
  <c r="T167" i="4" s="1"/>
  <c r="K185" i="4"/>
  <c r="L159" i="4"/>
  <c r="M159" i="4" s="1"/>
  <c r="N159" i="4" s="1"/>
  <c r="O159" i="4" s="1"/>
  <c r="N8" i="10" l="1"/>
  <c r="K7" i="10"/>
  <c r="L9" i="9"/>
  <c r="K12" i="13"/>
  <c r="H13" i="13" s="1"/>
  <c r="I12" i="13"/>
  <c r="P13" i="13"/>
  <c r="Q12" i="13"/>
  <c r="R12" i="13" s="1"/>
  <c r="O45" i="12"/>
  <c r="S11" i="13"/>
  <c r="P34" i="12"/>
  <c r="Q1" i="12"/>
  <c r="P43" i="12"/>
  <c r="P38" i="12"/>
  <c r="P45" i="12" s="1"/>
  <c r="P50" i="12"/>
  <c r="P51" i="12" s="1"/>
  <c r="N58" i="12"/>
  <c r="N97" i="12" s="1"/>
  <c r="G78" i="12"/>
  <c r="O46" i="12"/>
  <c r="O58" i="12" s="1"/>
  <c r="O97" i="12" s="1"/>
  <c r="AB26" i="12"/>
  <c r="Q48" i="12"/>
  <c r="Q44" i="12"/>
  <c r="R39" i="12"/>
  <c r="Q47" i="12"/>
  <c r="I9" i="10"/>
  <c r="H13" i="10"/>
  <c r="J11" i="10"/>
  <c r="I16" i="4"/>
  <c r="P154" i="4"/>
  <c r="P150" i="4"/>
  <c r="P151" i="4"/>
  <c r="N184" i="4"/>
  <c r="O184" i="4" s="1"/>
  <c r="P184" i="4" s="1"/>
  <c r="L179" i="4"/>
  <c r="M179" i="4" s="1"/>
  <c r="N179" i="4" s="1"/>
  <c r="O179" i="4" s="1"/>
  <c r="P179" i="4" s="1"/>
  <c r="P159" i="4"/>
  <c r="O103" i="12" l="1"/>
  <c r="O107" i="12" s="1"/>
  <c r="O99" i="12"/>
  <c r="O100" i="12" s="1"/>
  <c r="O64" i="12"/>
  <c r="N99" i="12"/>
  <c r="N100" i="12" s="1"/>
  <c r="N103" i="12" s="1"/>
  <c r="N107" i="12" s="1"/>
  <c r="P46" i="12"/>
  <c r="P58" i="12" s="1"/>
  <c r="P97" i="12" s="1"/>
  <c r="Q43" i="12"/>
  <c r="Q34" i="12"/>
  <c r="R1" i="12"/>
  <c r="Q38" i="12"/>
  <c r="R48" i="12"/>
  <c r="S39" i="12"/>
  <c r="R44" i="12"/>
  <c r="R47" i="12"/>
  <c r="AC26" i="12"/>
  <c r="P14" i="13"/>
  <c r="Q13" i="13"/>
  <c r="R13" i="13" s="1"/>
  <c r="S13" i="13"/>
  <c r="I13" i="13"/>
  <c r="K13" i="13"/>
  <c r="H14" i="13" s="1"/>
  <c r="Q50" i="12"/>
  <c r="Q51" i="12" s="1"/>
  <c r="S12" i="13"/>
  <c r="G79" i="12"/>
  <c r="G82" i="12"/>
  <c r="I13" i="10"/>
  <c r="K11" i="10"/>
  <c r="M185" i="4"/>
  <c r="P185" i="4"/>
  <c r="N185" i="4"/>
  <c r="L185" i="4"/>
  <c r="O185" i="4"/>
  <c r="C175" i="8"/>
  <c r="C164" i="8"/>
  <c r="E167" i="8"/>
  <c r="E175" i="8"/>
  <c r="E164" i="8"/>
  <c r="C139" i="8"/>
  <c r="C129" i="8"/>
  <c r="C132" i="8" s="1"/>
  <c r="E139" i="8"/>
  <c r="C137" i="8"/>
  <c r="E137" i="8"/>
  <c r="E129" i="8"/>
  <c r="E132" i="8" s="1"/>
  <c r="C111" i="8"/>
  <c r="E111" i="8"/>
  <c r="C24" i="8"/>
  <c r="E45" i="8"/>
  <c r="E47" i="8" s="1"/>
  <c r="E24" i="8"/>
  <c r="E188" i="8"/>
  <c r="C188" i="8"/>
  <c r="E187" i="8"/>
  <c r="C187" i="8"/>
  <c r="D173" i="8"/>
  <c r="D153" i="8"/>
  <c r="E180" i="8"/>
  <c r="E109" i="8"/>
  <c r="C109" i="8"/>
  <c r="E102" i="8"/>
  <c r="C102" i="8"/>
  <c r="E97" i="8"/>
  <c r="C97" i="8"/>
  <c r="E87" i="8"/>
  <c r="C87" i="8"/>
  <c r="E82" i="8"/>
  <c r="E125" i="8" s="1"/>
  <c r="E156" i="8" s="1"/>
  <c r="C82" i="8"/>
  <c r="C125" i="8" s="1"/>
  <c r="C156" i="8" s="1"/>
  <c r="E57" i="8"/>
  <c r="C57" i="8"/>
  <c r="E52" i="8"/>
  <c r="C52" i="8"/>
  <c r="C45" i="8"/>
  <c r="C47" i="8" s="1"/>
  <c r="E10" i="8"/>
  <c r="C10" i="8"/>
  <c r="H169" i="4"/>
  <c r="D171" i="4"/>
  <c r="D176" i="4" s="1"/>
  <c r="D183" i="4" s="1"/>
  <c r="H165" i="4"/>
  <c r="H166" i="4"/>
  <c r="D142" i="4"/>
  <c r="D121" i="4"/>
  <c r="D117" i="4"/>
  <c r="H142" i="4"/>
  <c r="H121" i="4"/>
  <c r="H117" i="4"/>
  <c r="H103" i="4"/>
  <c r="D103" i="4"/>
  <c r="H88" i="4"/>
  <c r="H131" i="4" s="1"/>
  <c r="D88" i="4"/>
  <c r="D131" i="4" s="1"/>
  <c r="P64" i="12" l="1"/>
  <c r="P99" i="12"/>
  <c r="P100" i="12" s="1"/>
  <c r="P103" i="12" s="1"/>
  <c r="P107" i="12" s="1"/>
  <c r="G83" i="12"/>
  <c r="H81" i="12" s="1"/>
  <c r="Q46" i="12"/>
  <c r="AD26" i="12"/>
  <c r="K14" i="13"/>
  <c r="H15" i="13" s="1"/>
  <c r="I14" i="13"/>
  <c r="Q45" i="12"/>
  <c r="Q64" i="12" s="1"/>
  <c r="P15" i="13"/>
  <c r="Q14" i="13"/>
  <c r="R14" i="13" s="1"/>
  <c r="R50" i="12"/>
  <c r="R51" i="12" s="1"/>
  <c r="R43" i="12"/>
  <c r="R34" i="12"/>
  <c r="S1" i="12"/>
  <c r="R38" i="12"/>
  <c r="G94" i="12"/>
  <c r="L3" i="13"/>
  <c r="S44" i="12"/>
  <c r="T39" i="12"/>
  <c r="S48" i="12"/>
  <c r="S47" i="12"/>
  <c r="E72" i="8"/>
  <c r="W179" i="4"/>
  <c r="G35" i="9"/>
  <c r="E73" i="8"/>
  <c r="C5" i="10"/>
  <c r="F5" i="10" s="1"/>
  <c r="C59" i="8"/>
  <c r="H184" i="4"/>
  <c r="Q185" i="4"/>
  <c r="C152" i="8"/>
  <c r="E152" i="8"/>
  <c r="C104" i="8"/>
  <c r="E104" i="8"/>
  <c r="E74" i="8"/>
  <c r="E185" i="8"/>
  <c r="E59" i="8"/>
  <c r="C75" i="8"/>
  <c r="C185" i="8"/>
  <c r="C73" i="8"/>
  <c r="C186" i="8"/>
  <c r="E18" i="8"/>
  <c r="E31" i="8" s="1"/>
  <c r="C9" i="10" s="1"/>
  <c r="E75" i="8"/>
  <c r="E186" i="8"/>
  <c r="C74" i="8"/>
  <c r="C119" i="8"/>
  <c r="C183" i="8"/>
  <c r="C184" i="8" s="1"/>
  <c r="C18" i="8"/>
  <c r="C31" i="8" s="1"/>
  <c r="C158" i="8" s="1"/>
  <c r="C166" i="8" s="1"/>
  <c r="C171" i="8" s="1"/>
  <c r="C179" i="8" s="1"/>
  <c r="E119" i="8"/>
  <c r="D138" i="4"/>
  <c r="D157" i="4" s="1"/>
  <c r="D115" i="4"/>
  <c r="G178" i="4"/>
  <c r="G158" i="4"/>
  <c r="H138" i="4"/>
  <c r="H157" i="4" s="1"/>
  <c r="H115" i="4"/>
  <c r="H108" i="4"/>
  <c r="D108" i="4"/>
  <c r="H93" i="4"/>
  <c r="D93" i="4"/>
  <c r="H66" i="4"/>
  <c r="D66" i="4"/>
  <c r="F66" i="4" s="1"/>
  <c r="H61" i="4"/>
  <c r="D61" i="4"/>
  <c r="F61" i="4" s="1"/>
  <c r="H54" i="4"/>
  <c r="H56" i="4" s="1"/>
  <c r="D54" i="4"/>
  <c r="D56" i="4" s="1"/>
  <c r="H19" i="4"/>
  <c r="C5" i="9" s="1"/>
  <c r="G5" i="9" s="1"/>
  <c r="D19" i="4"/>
  <c r="R46" i="12" l="1"/>
  <c r="M3" i="13"/>
  <c r="O3" i="13"/>
  <c r="T3" i="13"/>
  <c r="R45" i="12"/>
  <c r="R64" i="12" s="1"/>
  <c r="AE26" i="12"/>
  <c r="S34" i="12"/>
  <c r="T1" i="12"/>
  <c r="S43" i="12"/>
  <c r="S38" i="12"/>
  <c r="S45" i="12" s="1"/>
  <c r="T48" i="12"/>
  <c r="T44" i="12"/>
  <c r="U39" i="12"/>
  <c r="T47" i="12"/>
  <c r="P16" i="13"/>
  <c r="Q15" i="13"/>
  <c r="R15" i="13" s="1"/>
  <c r="S15" i="13"/>
  <c r="I15" i="13"/>
  <c r="K15" i="13"/>
  <c r="H16" i="13" s="1"/>
  <c r="Q58" i="12"/>
  <c r="Q97" i="12" s="1"/>
  <c r="S50" i="12"/>
  <c r="S51" i="12" s="1"/>
  <c r="S14" i="13"/>
  <c r="K9" i="10"/>
  <c r="J13" i="10"/>
  <c r="H190" i="4"/>
  <c r="C13" i="10"/>
  <c r="Q104" i="10" s="1"/>
  <c r="G5" i="10"/>
  <c r="H5" i="9"/>
  <c r="H187" i="4"/>
  <c r="H189" i="4"/>
  <c r="F68" i="4"/>
  <c r="N149" i="4"/>
  <c r="E76" i="8"/>
  <c r="E158" i="8"/>
  <c r="E166" i="8" s="1"/>
  <c r="E171" i="8" s="1"/>
  <c r="E179" i="8" s="1"/>
  <c r="C121" i="8"/>
  <c r="C153" i="8" s="1"/>
  <c r="E121" i="8"/>
  <c r="E153" i="8" s="1"/>
  <c r="E38" i="8"/>
  <c r="E77" i="8" s="1"/>
  <c r="C38" i="8"/>
  <c r="C76" i="8"/>
  <c r="H78" i="4"/>
  <c r="H110" i="4"/>
  <c r="H68" i="4"/>
  <c r="H164" i="4" s="1"/>
  <c r="H79" i="4"/>
  <c r="D80" i="4"/>
  <c r="D79" i="4"/>
  <c r="D81" i="4"/>
  <c r="H81" i="4"/>
  <c r="H80" i="4"/>
  <c r="D27" i="4"/>
  <c r="D40" i="4" s="1"/>
  <c r="D68" i="4"/>
  <c r="D110" i="4"/>
  <c r="D125" i="4"/>
  <c r="H27" i="4"/>
  <c r="H125" i="4"/>
  <c r="Q103" i="12" l="1"/>
  <c r="Q107" i="12" s="1"/>
  <c r="Q99" i="12"/>
  <c r="Q100" i="12" s="1"/>
  <c r="K13" i="10"/>
  <c r="S46" i="12"/>
  <c r="S64" i="12" s="1"/>
  <c r="K16" i="13"/>
  <c r="H17" i="13" s="1"/>
  <c r="I16" i="13"/>
  <c r="S16" i="13"/>
  <c r="Q16" i="13"/>
  <c r="R16" i="13" s="1"/>
  <c r="U48" i="12"/>
  <c r="U44" i="12"/>
  <c r="V39" i="12"/>
  <c r="U47" i="12"/>
  <c r="H60" i="12"/>
  <c r="R58" i="12"/>
  <c r="R97" i="12" s="1"/>
  <c r="T50" i="12"/>
  <c r="T51" i="12" s="1"/>
  <c r="T43" i="12"/>
  <c r="T34" i="12"/>
  <c r="U1" i="12"/>
  <c r="T38" i="12"/>
  <c r="T45" i="12" s="1"/>
  <c r="E61" i="8"/>
  <c r="E69" i="8" s="1"/>
  <c r="H5" i="10"/>
  <c r="F23" i="10"/>
  <c r="H188" i="4"/>
  <c r="K173" i="4" s="1"/>
  <c r="L173" i="4" s="1"/>
  <c r="M173" i="4" s="1"/>
  <c r="N173" i="4" s="1"/>
  <c r="O173" i="4" s="1"/>
  <c r="P173" i="4" s="1"/>
  <c r="T28" i="9"/>
  <c r="G21" i="9" s="1"/>
  <c r="F22" i="10"/>
  <c r="I5" i="9"/>
  <c r="F21" i="10"/>
  <c r="C61" i="8"/>
  <c r="C69" i="8" s="1"/>
  <c r="C77" i="8"/>
  <c r="D47" i="4"/>
  <c r="D83" i="4" s="1"/>
  <c r="D82" i="4"/>
  <c r="H127" i="4"/>
  <c r="H158" i="4" s="1"/>
  <c r="D127" i="4"/>
  <c r="D158" i="4" s="1"/>
  <c r="H40" i="4"/>
  <c r="C7" i="9" s="1"/>
  <c r="F30" i="10" l="1"/>
  <c r="R99" i="12"/>
  <c r="R100" i="12" s="1"/>
  <c r="R103" i="12" s="1"/>
  <c r="R107" i="12" s="1"/>
  <c r="T46" i="12"/>
  <c r="T58" i="12" s="1"/>
  <c r="T97" i="12" s="1"/>
  <c r="V1" i="12"/>
  <c r="U43" i="12"/>
  <c r="U34" i="12"/>
  <c r="U38" i="12"/>
  <c r="I17" i="13"/>
  <c r="K17" i="13"/>
  <c r="H18" i="13" s="1"/>
  <c r="V48" i="12"/>
  <c r="W39" i="12"/>
  <c r="V44" i="12"/>
  <c r="V47" i="12"/>
  <c r="S58" i="12"/>
  <c r="S97" i="12" s="1"/>
  <c r="H65" i="12"/>
  <c r="U50" i="12"/>
  <c r="U51" i="12" s="1"/>
  <c r="G23" i="10"/>
  <c r="H21" i="9"/>
  <c r="C11" i="9"/>
  <c r="I21" i="9"/>
  <c r="J5" i="9"/>
  <c r="G21" i="10"/>
  <c r="G15" i="10"/>
  <c r="G22" i="10" s="1"/>
  <c r="H23" i="10"/>
  <c r="I5" i="10"/>
  <c r="N150" i="4"/>
  <c r="H82" i="4"/>
  <c r="H163" i="4"/>
  <c r="K163" i="4" s="1"/>
  <c r="D70" i="4"/>
  <c r="D75" i="4" s="1"/>
  <c r="H47" i="4"/>
  <c r="G30" i="10" l="1"/>
  <c r="T99" i="12"/>
  <c r="T100" i="12" s="1"/>
  <c r="T103" i="12" s="1"/>
  <c r="T107" i="12" s="1"/>
  <c r="S99" i="12"/>
  <c r="S100" i="12" s="1"/>
  <c r="S103" i="12"/>
  <c r="S107" i="12" s="1"/>
  <c r="T64" i="12"/>
  <c r="U46" i="12"/>
  <c r="I18" i="13"/>
  <c r="K18" i="13"/>
  <c r="H19" i="13" s="1"/>
  <c r="V50" i="12"/>
  <c r="V51" i="12" s="1"/>
  <c r="V43" i="12"/>
  <c r="V34" i="12"/>
  <c r="W1" i="12"/>
  <c r="V38" i="12"/>
  <c r="V45" i="12" s="1"/>
  <c r="H66" i="12"/>
  <c r="W44" i="12"/>
  <c r="W48" i="12"/>
  <c r="X39" i="12"/>
  <c r="W47" i="12"/>
  <c r="U45" i="12"/>
  <c r="U64" i="12" s="1"/>
  <c r="F36" i="10"/>
  <c r="G19" i="9"/>
  <c r="H7" i="9"/>
  <c r="H15" i="10"/>
  <c r="H22" i="10" s="1"/>
  <c r="I23" i="10"/>
  <c r="J5" i="10"/>
  <c r="J21" i="9"/>
  <c r="K5" i="9"/>
  <c r="H21" i="10"/>
  <c r="H11" i="9"/>
  <c r="H13" i="9" s="1"/>
  <c r="G20" i="9"/>
  <c r="L163" i="4"/>
  <c r="M163" i="4" s="1"/>
  <c r="K166" i="4"/>
  <c r="K171" i="4" s="1"/>
  <c r="N154" i="4"/>
  <c r="Q154" i="4" s="1"/>
  <c r="O150" i="4"/>
  <c r="Q150" i="4"/>
  <c r="N151" i="4"/>
  <c r="H70" i="4"/>
  <c r="H75" i="4" s="1"/>
  <c r="N152" i="4" s="1"/>
  <c r="H83" i="4"/>
  <c r="H171" i="4"/>
  <c r="H176" i="4" s="1"/>
  <c r="H30" i="10" l="1"/>
  <c r="G25" i="9"/>
  <c r="G36" i="10"/>
  <c r="V46" i="12"/>
  <c r="V64" i="12" s="1"/>
  <c r="W50" i="12"/>
  <c r="W51" i="12" s="1"/>
  <c r="W34" i="12"/>
  <c r="X1" i="12"/>
  <c r="W43" i="12"/>
  <c r="W38" i="12"/>
  <c r="W45" i="12" s="1"/>
  <c r="K19" i="13"/>
  <c r="H20" i="13" s="1"/>
  <c r="I19" i="13"/>
  <c r="U58" i="12"/>
  <c r="U97" i="12" s="1"/>
  <c r="X48" i="12"/>
  <c r="Y39" i="12"/>
  <c r="X44" i="12"/>
  <c r="X47" i="12"/>
  <c r="H70" i="12"/>
  <c r="L5" i="9"/>
  <c r="L21" i="9" s="1"/>
  <c r="K21" i="9"/>
  <c r="H20" i="9"/>
  <c r="I11" i="9"/>
  <c r="I13" i="9" s="1"/>
  <c r="I15" i="10"/>
  <c r="I22" i="10" s="1"/>
  <c r="J15" i="10"/>
  <c r="J22" i="10" s="1"/>
  <c r="I21" i="10"/>
  <c r="J23" i="10"/>
  <c r="K5" i="10"/>
  <c r="I7" i="9"/>
  <c r="H19" i="9"/>
  <c r="K176" i="4"/>
  <c r="K177" i="4" s="1"/>
  <c r="K182" i="4" s="1"/>
  <c r="O152" i="4"/>
  <c r="Q152" i="4"/>
  <c r="O151" i="4"/>
  <c r="Q151" i="4"/>
  <c r="L166" i="4"/>
  <c r="L171" i="4" s="1"/>
  <c r="L176" i="4" s="1"/>
  <c r="L177" i="4" s="1"/>
  <c r="L182" i="4" s="1"/>
  <c r="K23" i="10" l="1"/>
  <c r="I30" i="10"/>
  <c r="I36" i="10" s="1"/>
  <c r="U99" i="12"/>
  <c r="U100" i="12" s="1"/>
  <c r="U103" i="12" s="1"/>
  <c r="U107" i="12" s="1"/>
  <c r="W46" i="12"/>
  <c r="W64" i="12" s="1"/>
  <c r="X50" i="12"/>
  <c r="X51" i="12" s="1"/>
  <c r="H71" i="12"/>
  <c r="Y48" i="12"/>
  <c r="Y44" i="12"/>
  <c r="Z39" i="12"/>
  <c r="Y47" i="12"/>
  <c r="K20" i="13"/>
  <c r="H21" i="13" s="1"/>
  <c r="I20" i="13"/>
  <c r="X34" i="12"/>
  <c r="Y1" i="12"/>
  <c r="X43" i="12"/>
  <c r="X38" i="12"/>
  <c r="X45" i="12" s="1"/>
  <c r="V58" i="12"/>
  <c r="V97" i="12" s="1"/>
  <c r="H36" i="10"/>
  <c r="H25" i="9"/>
  <c r="J21" i="10"/>
  <c r="J30" i="10" s="1"/>
  <c r="J11" i="9"/>
  <c r="J13" i="9" s="1"/>
  <c r="I20" i="9"/>
  <c r="J7" i="9"/>
  <c r="I19" i="9"/>
  <c r="G31" i="9"/>
  <c r="Q155" i="4"/>
  <c r="N163" i="4"/>
  <c r="M166" i="4"/>
  <c r="M171" i="4" s="1"/>
  <c r="M176" i="4" s="1"/>
  <c r="M177" i="4" s="1"/>
  <c r="M182" i="4" s="1"/>
  <c r="H31" i="9" l="1"/>
  <c r="J36" i="10"/>
  <c r="V99" i="12"/>
  <c r="V100" i="12" s="1"/>
  <c r="V103" i="12" s="1"/>
  <c r="V107" i="12" s="1"/>
  <c r="X46" i="12"/>
  <c r="X64" i="12" s="1"/>
  <c r="Y34" i="12"/>
  <c r="Y43" i="12"/>
  <c r="Z1" i="12"/>
  <c r="Y38" i="12"/>
  <c r="Y45" i="12" s="1"/>
  <c r="I21" i="13"/>
  <c r="K21" i="13"/>
  <c r="H22" i="13" s="1"/>
  <c r="Z48" i="12"/>
  <c r="AA39" i="12"/>
  <c r="Z44" i="12"/>
  <c r="Z47" i="12"/>
  <c r="H72" i="12"/>
  <c r="W58" i="12"/>
  <c r="W97" i="12" s="1"/>
  <c r="Y50" i="12"/>
  <c r="Y51" i="12" s="1"/>
  <c r="I25" i="9"/>
  <c r="I31" i="9" s="1"/>
  <c r="K7" i="9"/>
  <c r="J19" i="9"/>
  <c r="K15" i="10"/>
  <c r="K22" i="10" s="1"/>
  <c r="K21" i="10"/>
  <c r="K11" i="9"/>
  <c r="J20" i="9"/>
  <c r="O163" i="4"/>
  <c r="N166" i="4"/>
  <c r="N171" i="4" s="1"/>
  <c r="N176" i="4" s="1"/>
  <c r="N177" i="4" s="1"/>
  <c r="N182" i="4" s="1"/>
  <c r="K30" i="10" l="1"/>
  <c r="P42" i="10" s="1"/>
  <c r="K13" i="9"/>
  <c r="K20" i="9" s="1"/>
  <c r="X58" i="12"/>
  <c r="X97" i="12" s="1"/>
  <c r="W99" i="12"/>
  <c r="W100" i="12" s="1"/>
  <c r="W103" i="12" s="1"/>
  <c r="W107" i="12" s="1"/>
  <c r="Y46" i="12"/>
  <c r="Y64" i="12" s="1"/>
  <c r="Z43" i="12"/>
  <c r="Z34" i="12"/>
  <c r="AA1" i="12"/>
  <c r="Z38" i="12"/>
  <c r="Z45" i="12" s="1"/>
  <c r="H77" i="12"/>
  <c r="Z50" i="12"/>
  <c r="Z51" i="12" s="1"/>
  <c r="K22" i="13"/>
  <c r="H23" i="13" s="1"/>
  <c r="I22" i="13"/>
  <c r="AA48" i="12"/>
  <c r="AB39" i="12"/>
  <c r="AA44" i="12"/>
  <c r="AA47" i="12"/>
  <c r="J25" i="9"/>
  <c r="L7" i="9"/>
  <c r="K19" i="9"/>
  <c r="P163" i="4"/>
  <c r="P166" i="4" s="1"/>
  <c r="P171" i="4" s="1"/>
  <c r="P176" i="4" s="1"/>
  <c r="P177" i="4" s="1"/>
  <c r="P182" i="4" s="1"/>
  <c r="O166" i="4"/>
  <c r="O171" i="4" s="1"/>
  <c r="O176" i="4" s="1"/>
  <c r="O177" i="4" s="1"/>
  <c r="O182" i="4" s="1"/>
  <c r="Q41" i="9" l="1"/>
  <c r="J31" i="9"/>
  <c r="K32" i="10"/>
  <c r="K36" i="10" s="1"/>
  <c r="K25" i="9"/>
  <c r="K31" i="9" s="1"/>
  <c r="X99" i="12"/>
  <c r="X100" i="12" s="1"/>
  <c r="X103" i="12" s="1"/>
  <c r="X107" i="12" s="1"/>
  <c r="Z46" i="12"/>
  <c r="Z64" i="12" s="1"/>
  <c r="AA34" i="12"/>
  <c r="AB1" i="12"/>
  <c r="AA43" i="12"/>
  <c r="AA38" i="12"/>
  <c r="AA45" i="12" s="1"/>
  <c r="Y58" i="12"/>
  <c r="Y97" i="12" s="1"/>
  <c r="AB48" i="12"/>
  <c r="AB44" i="12"/>
  <c r="AC39" i="12"/>
  <c r="AB47" i="12"/>
  <c r="H78" i="12"/>
  <c r="AA50" i="12"/>
  <c r="AA51" i="12" s="1"/>
  <c r="I23" i="13"/>
  <c r="K23" i="13"/>
  <c r="H24" i="13" s="1"/>
  <c r="L11" i="9"/>
  <c r="L19" i="9"/>
  <c r="W178" i="4"/>
  <c r="W182" i="4" s="1"/>
  <c r="L13" i="9" l="1"/>
  <c r="L20" i="9" s="1"/>
  <c r="L25" i="9" s="1"/>
  <c r="L27" i="9" s="1"/>
  <c r="L31" i="9" s="1"/>
  <c r="G33" i="9" s="1"/>
  <c r="F38" i="10"/>
  <c r="Y99" i="12"/>
  <c r="Y100" i="12" s="1"/>
  <c r="Y103" i="12" s="1"/>
  <c r="Y107" i="12" s="1"/>
  <c r="AB50" i="12"/>
  <c r="AB51" i="12" s="1"/>
  <c r="AA46" i="12"/>
  <c r="AA64" i="12" s="1"/>
  <c r="AA66" i="12" s="1"/>
  <c r="H79" i="12"/>
  <c r="H82" i="12"/>
  <c r="AB43" i="12"/>
  <c r="AB34" i="12"/>
  <c r="AC1" i="12"/>
  <c r="AB38" i="12"/>
  <c r="AB45" i="12" s="1"/>
  <c r="Z58" i="12"/>
  <c r="Z97" i="12" s="1"/>
  <c r="I24" i="13"/>
  <c r="K24" i="13"/>
  <c r="H25" i="13" s="1"/>
  <c r="AC48" i="12"/>
  <c r="AC44" i="12"/>
  <c r="AD39" i="12"/>
  <c r="AC47" i="12"/>
  <c r="W184" i="4"/>
  <c r="W185" i="4" s="1"/>
  <c r="Y182" i="4"/>
  <c r="AA182" i="4" s="1"/>
  <c r="G38" i="9" l="1"/>
  <c r="G40" i="9" s="1"/>
  <c r="F43" i="10" s="1"/>
  <c r="J81" i="10" s="1"/>
  <c r="C42" i="9"/>
  <c r="C48" i="10"/>
  <c r="C47" i="10"/>
  <c r="Z99" i="12"/>
  <c r="Z100" i="12" s="1"/>
  <c r="Z103" i="12" s="1"/>
  <c r="Z107" i="12" s="1"/>
  <c r="AA70" i="12"/>
  <c r="AB46" i="12"/>
  <c r="AB58" i="12" s="1"/>
  <c r="AB97" i="12" s="1"/>
  <c r="AC50" i="12"/>
  <c r="AC51" i="12" s="1"/>
  <c r="I25" i="13"/>
  <c r="K25" i="13"/>
  <c r="H26" i="13" s="1"/>
  <c r="AD1" i="12"/>
  <c r="AC43" i="12"/>
  <c r="AC34" i="12"/>
  <c r="AC38" i="12"/>
  <c r="H83" i="12"/>
  <c r="I81" i="12" s="1"/>
  <c r="AA58" i="12"/>
  <c r="AA97" i="12" s="1"/>
  <c r="AD48" i="12"/>
  <c r="AE39" i="12"/>
  <c r="AD44" i="12"/>
  <c r="AD47" i="12"/>
  <c r="H94" i="12"/>
  <c r="L4" i="13"/>
  <c r="C43" i="9"/>
  <c r="R94" i="10" l="1"/>
  <c r="R97" i="10" s="1"/>
  <c r="AB99" i="12"/>
  <c r="AB100" i="12" s="1"/>
  <c r="AB103" i="12" s="1"/>
  <c r="AB107" i="12" s="1"/>
  <c r="AA99" i="12"/>
  <c r="AA100" i="12" s="1"/>
  <c r="AA103" i="12"/>
  <c r="AA107" i="12" s="1"/>
  <c r="AB64" i="12"/>
  <c r="AB66" i="12" s="1"/>
  <c r="AC46" i="12"/>
  <c r="AC58" i="12" s="1"/>
  <c r="AC97" i="12" s="1"/>
  <c r="O4" i="13"/>
  <c r="M4" i="13"/>
  <c r="T4" i="13"/>
  <c r="AD50" i="12"/>
  <c r="AD51" i="12" s="1"/>
  <c r="AD43" i="12"/>
  <c r="AD34" i="12"/>
  <c r="AE1" i="12"/>
  <c r="AD38" i="12"/>
  <c r="AE44" i="12"/>
  <c r="AE50" i="12" s="1"/>
  <c r="AE48" i="12"/>
  <c r="AE47" i="12"/>
  <c r="AC45" i="12"/>
  <c r="AC64" i="12" s="1"/>
  <c r="AC66" i="12" s="1"/>
  <c r="I26" i="13"/>
  <c r="K26" i="13"/>
  <c r="H27" i="13" s="1"/>
  <c r="I27" i="13" s="1"/>
  <c r="AC99" i="12" l="1"/>
  <c r="AC100" i="12" s="1"/>
  <c r="AC103" i="12" s="1"/>
  <c r="AC107" i="12" s="1"/>
  <c r="AC70" i="12"/>
  <c r="AD46" i="12"/>
  <c r="AD64" i="12" s="1"/>
  <c r="AD66" i="12" s="1"/>
  <c r="I60" i="12"/>
  <c r="AE51" i="12"/>
  <c r="AD45" i="12"/>
  <c r="I28" i="13"/>
  <c r="AE34" i="12"/>
  <c r="AE43" i="12"/>
  <c r="AE38" i="12"/>
  <c r="AE45" i="12" s="1"/>
  <c r="AB70" i="12"/>
  <c r="AD58" i="12" l="1"/>
  <c r="AD97" i="12" s="1"/>
  <c r="J32" i="13"/>
  <c r="AD70" i="12"/>
  <c r="I65" i="12"/>
  <c r="AE46" i="12"/>
  <c r="AE58" i="12" s="1"/>
  <c r="AE97" i="12" s="1"/>
  <c r="AE99" i="12" l="1"/>
  <c r="AE100" i="12" s="1"/>
  <c r="AE103" i="12" s="1"/>
  <c r="AE107" i="12" s="1"/>
  <c r="AD99" i="12"/>
  <c r="AD100" i="12" s="1"/>
  <c r="AD103" i="12" s="1"/>
  <c r="AD107" i="12" s="1"/>
  <c r="AE64" i="12"/>
  <c r="I66" i="12"/>
  <c r="H110" i="12" l="1"/>
  <c r="H112" i="12" s="1"/>
  <c r="F41" i="10" s="1"/>
  <c r="I70" i="12"/>
  <c r="AE66" i="12"/>
  <c r="E64" i="12"/>
  <c r="F44" i="10" l="1"/>
  <c r="J80" i="10"/>
  <c r="J82" i="10" s="1"/>
  <c r="J83" i="10" s="1"/>
  <c r="I71" i="12"/>
  <c r="AE70" i="12"/>
  <c r="I72" i="12" l="1"/>
  <c r="I77" i="12" l="1"/>
  <c r="I78" i="12" l="1"/>
  <c r="I82" i="12" l="1"/>
  <c r="I79" i="12"/>
  <c r="I94" i="12" l="1"/>
  <c r="L5" i="13"/>
  <c r="I83" i="12"/>
  <c r="J81" i="12" s="1"/>
  <c r="M5" i="13" l="1"/>
  <c r="O5" i="13"/>
  <c r="T5" i="13"/>
  <c r="F82" i="10" l="1"/>
  <c r="F83" i="10" s="1"/>
  <c r="F85" i="10" s="1"/>
  <c r="J60" i="12"/>
  <c r="J65" i="12" l="1"/>
  <c r="J66" i="12" l="1"/>
  <c r="J70" i="12" l="1"/>
  <c r="J71" i="12" l="1"/>
  <c r="J72" i="12" l="1"/>
  <c r="J77" i="12" l="1"/>
  <c r="J78" i="12" l="1"/>
  <c r="J82" i="12" l="1"/>
  <c r="J79" i="12"/>
  <c r="J94" i="12" l="1"/>
  <c r="L6" i="13"/>
  <c r="J83" i="12"/>
  <c r="K81" i="12" s="1"/>
  <c r="O6" i="13" l="1"/>
  <c r="M6" i="13"/>
  <c r="T6" i="13"/>
  <c r="K60" i="12" l="1"/>
  <c r="K65" i="12" l="1"/>
  <c r="K66" i="12" s="1"/>
  <c r="K70" i="12" l="1"/>
  <c r="K71" i="12" l="1"/>
  <c r="K72" i="12" l="1"/>
  <c r="K77" i="12" l="1"/>
  <c r="K78" i="12" l="1"/>
  <c r="K79" i="12" l="1"/>
  <c r="K82" i="12"/>
  <c r="K94" i="12" l="1"/>
  <c r="L7" i="13"/>
  <c r="K83" i="12"/>
  <c r="L81" i="12" s="1"/>
  <c r="M7" i="13" l="1"/>
  <c r="L60" i="12" s="1"/>
  <c r="L65" i="12" s="1"/>
  <c r="L66" i="12" s="1"/>
  <c r="O7" i="13"/>
  <c r="T7" i="13"/>
  <c r="L70" i="12" l="1"/>
  <c r="L71" i="12" l="1"/>
  <c r="L72" i="12" s="1"/>
  <c r="L77" i="12" s="1"/>
  <c r="L78" i="12" s="1"/>
  <c r="L79" i="12" l="1"/>
  <c r="L82" i="12"/>
  <c r="L83" i="12" l="1"/>
  <c r="M81" i="12" s="1"/>
  <c r="L94" i="12"/>
  <c r="L8" i="13"/>
  <c r="O8" i="13" l="1"/>
  <c r="M8" i="13"/>
  <c r="M60" i="12" s="1"/>
  <c r="M65" i="12" s="1"/>
  <c r="M66" i="12" s="1"/>
  <c r="T8" i="13"/>
  <c r="M70" i="12" l="1"/>
  <c r="M71" i="12" s="1"/>
  <c r="M72" i="12" s="1"/>
  <c r="M77" i="12" s="1"/>
  <c r="M78" i="12" s="1"/>
  <c r="M82" i="12" l="1"/>
  <c r="M79" i="12"/>
  <c r="L9" i="13" s="1"/>
  <c r="M9" i="13" l="1"/>
  <c r="N60" i="12" s="1"/>
  <c r="N65" i="12" s="1"/>
  <c r="N66" i="12" s="1"/>
  <c r="O9" i="13"/>
  <c r="T9" i="13"/>
  <c r="M83" i="12"/>
  <c r="N81" i="12" s="1"/>
  <c r="N70" i="12" l="1"/>
  <c r="N71" i="12" s="1"/>
  <c r="N72" i="12" s="1"/>
  <c r="N77" i="12" s="1"/>
  <c r="N78" i="12" s="1"/>
  <c r="N82" i="12" l="1"/>
  <c r="N79" i="12"/>
  <c r="L10" i="13" s="1"/>
  <c r="N83" i="12" l="1"/>
  <c r="O81" i="12" s="1"/>
  <c r="O10" i="13"/>
  <c r="M10" i="13"/>
  <c r="O60" i="12" s="1"/>
  <c r="O65" i="12" s="1"/>
  <c r="O66" i="12" s="1"/>
  <c r="T10" i="13"/>
  <c r="O70" i="12" l="1"/>
  <c r="O71" i="12" s="1"/>
  <c r="O72" i="12" s="1"/>
  <c r="O77" i="12" s="1"/>
  <c r="O78" i="12" s="1"/>
  <c r="O79" i="12" l="1"/>
  <c r="L11" i="13" s="1"/>
  <c r="O82" i="12"/>
  <c r="O83" i="12" l="1"/>
  <c r="P81" i="12" s="1"/>
  <c r="M11" i="13"/>
  <c r="P60" i="12" s="1"/>
  <c r="P65" i="12" s="1"/>
  <c r="P66" i="12" s="1"/>
  <c r="O11" i="13"/>
  <c r="T11" i="13"/>
  <c r="P70" i="12" l="1"/>
  <c r="P71" i="12" s="1"/>
  <c r="P72" i="12" s="1"/>
  <c r="P77" i="12" s="1"/>
  <c r="P78" i="12" s="1"/>
  <c r="P79" i="12" l="1"/>
  <c r="L12" i="13" s="1"/>
  <c r="P82" i="12"/>
  <c r="P83" i="12" l="1"/>
  <c r="Q81" i="12" s="1"/>
  <c r="O12" i="13"/>
  <c r="M12" i="13"/>
  <c r="Q60" i="12" s="1"/>
  <c r="Q65" i="12" s="1"/>
  <c r="Q66" i="12" s="1"/>
  <c r="T12" i="13"/>
  <c r="Q70" i="12" l="1"/>
  <c r="Q71" i="12" s="1"/>
  <c r="Q72" i="12" s="1"/>
  <c r="Q77" i="12" s="1"/>
  <c r="Q78" i="12" s="1"/>
  <c r="Q82" i="12" l="1"/>
  <c r="Q79" i="12"/>
  <c r="L13" i="13" s="1"/>
  <c r="M13" i="13" l="1"/>
  <c r="R60" i="12" s="1"/>
  <c r="R65" i="12" s="1"/>
  <c r="R66" i="12" s="1"/>
  <c r="O13" i="13"/>
  <c r="T13" i="13"/>
  <c r="Q83" i="12"/>
  <c r="R81" i="12" s="1"/>
  <c r="R70" i="12" l="1"/>
  <c r="R71" i="12" s="1"/>
  <c r="R72" i="12" s="1"/>
  <c r="R77" i="12" s="1"/>
  <c r="R78" i="12" s="1"/>
  <c r="R82" i="12" l="1"/>
  <c r="R79" i="12"/>
  <c r="L14" i="13" s="1"/>
  <c r="O14" i="13" l="1"/>
  <c r="M14" i="13"/>
  <c r="S60" i="12" s="1"/>
  <c r="S65" i="12" s="1"/>
  <c r="S66" i="12" s="1"/>
  <c r="T14" i="13"/>
  <c r="R83" i="12"/>
  <c r="S81" i="12" s="1"/>
  <c r="S70" i="12" l="1"/>
  <c r="S71" i="12" s="1"/>
  <c r="S72" i="12" s="1"/>
  <c r="S77" i="12" s="1"/>
  <c r="S78" i="12" s="1"/>
  <c r="S79" i="12" l="1"/>
  <c r="L15" i="13" s="1"/>
  <c r="S82" i="12"/>
  <c r="S83" i="12" l="1"/>
  <c r="T81" i="12" s="1"/>
  <c r="M15" i="13"/>
  <c r="T60" i="12" s="1"/>
  <c r="T65" i="12" s="1"/>
  <c r="T66" i="12" s="1"/>
  <c r="O15" i="13"/>
  <c r="T15" i="13"/>
  <c r="T70" i="12" l="1"/>
  <c r="T71" i="12" s="1"/>
  <c r="T72" i="12" s="1"/>
  <c r="T77" i="12" s="1"/>
  <c r="T78" i="12" s="1"/>
  <c r="T79" i="12" l="1"/>
  <c r="L16" i="13" s="1"/>
  <c r="T82" i="12"/>
  <c r="T83" i="12" l="1"/>
  <c r="U81" i="12" s="1"/>
  <c r="O16" i="13"/>
  <c r="M16" i="13"/>
  <c r="U60" i="12" s="1"/>
  <c r="U65" i="12" s="1"/>
  <c r="U66" i="12" s="1"/>
  <c r="T16" i="13"/>
  <c r="U70" i="12" l="1"/>
  <c r="U71" i="12" s="1"/>
  <c r="U72" i="12" s="1"/>
  <c r="U77" i="12" s="1"/>
  <c r="U78" i="12" s="1"/>
  <c r="U82" i="12" l="1"/>
  <c r="U79" i="12"/>
  <c r="L17" i="13" s="1"/>
  <c r="M17" i="13" l="1"/>
  <c r="V60" i="12" s="1"/>
  <c r="V65" i="12" s="1"/>
  <c r="V66" i="12" s="1"/>
  <c r="O17" i="13"/>
  <c r="U83" i="12"/>
  <c r="V81" i="12" s="1"/>
  <c r="V70" i="12" l="1"/>
  <c r="V71" i="12" s="1"/>
  <c r="V72" i="12" s="1"/>
  <c r="V77" i="12" s="1"/>
  <c r="V78" i="12" s="1"/>
  <c r="V82" i="12" l="1"/>
  <c r="V79" i="12"/>
  <c r="L18" i="13" s="1"/>
  <c r="M18" i="13" l="1"/>
  <c r="W60" i="12" s="1"/>
  <c r="W65" i="12" s="1"/>
  <c r="W66" i="12" s="1"/>
  <c r="O18" i="13"/>
  <c r="V83" i="12"/>
  <c r="W81" i="12" s="1"/>
  <c r="W70" i="12" l="1"/>
  <c r="W71" i="12" s="1"/>
  <c r="W72" i="12" s="1"/>
  <c r="W77" i="12" s="1"/>
  <c r="W78" i="12" s="1"/>
  <c r="W79" i="12" l="1"/>
  <c r="L19" i="13" s="1"/>
  <c r="W82" i="12"/>
  <c r="W83" i="12" l="1"/>
  <c r="X81" i="12" s="1"/>
  <c r="O19" i="13"/>
  <c r="M19" i="13"/>
  <c r="X60" i="12" s="1"/>
  <c r="X65" i="12" s="1"/>
  <c r="X66" i="12" s="1"/>
  <c r="X70" i="12" l="1"/>
  <c r="X71" i="12" s="1"/>
  <c r="X72" i="12" s="1"/>
  <c r="X77" i="12" s="1"/>
  <c r="X78" i="12" s="1"/>
  <c r="X79" i="12" l="1"/>
  <c r="L20" i="13" s="1"/>
  <c r="X82" i="12"/>
  <c r="X83" i="12" l="1"/>
  <c r="Y81" i="12" s="1"/>
  <c r="N20" i="13"/>
  <c r="N28" i="13" s="1"/>
  <c r="M20" i="13"/>
  <c r="Y60" i="12" s="1"/>
  <c r="Y65" i="12" s="1"/>
  <c r="Y66" i="12" s="1"/>
  <c r="Y70" i="12" l="1"/>
  <c r="Y71" i="12" s="1"/>
  <c r="Y72" i="12" s="1"/>
  <c r="Y77" i="12" s="1"/>
  <c r="AG78" i="12"/>
  <c r="N29" i="13"/>
  <c r="AG79" i="12" s="1"/>
  <c r="O20" i="13"/>
  <c r="L21" i="13" s="1"/>
  <c r="AG80" i="12" l="1"/>
  <c r="N30" i="13"/>
  <c r="AG81" i="12" s="1"/>
  <c r="Y78" i="12"/>
  <c r="Y82" i="12" s="1"/>
  <c r="M21" i="13"/>
  <c r="Y79" i="12"/>
  <c r="AF79" i="12" s="1"/>
  <c r="Y83" i="12" l="1"/>
  <c r="Z81" i="12" s="1"/>
  <c r="Z60" i="12"/>
  <c r="M28" i="13"/>
  <c r="AF78" i="12"/>
  <c r="M32" i="13" l="1"/>
  <c r="AG60" i="12"/>
  <c r="M31" i="13"/>
  <c r="Z65" i="12"/>
  <c r="AF60" i="12"/>
  <c r="Z66" i="12" l="1"/>
  <c r="AF65" i="12"/>
  <c r="Z70" i="12" l="1"/>
  <c r="AF66" i="12"/>
  <c r="E66" i="12"/>
  <c r="Z71" i="12" l="1"/>
  <c r="Z72" i="12" s="1"/>
  <c r="Z77" i="12" s="1"/>
  <c r="Z78" i="12" s="1"/>
  <c r="Z82" i="12" s="1"/>
  <c r="Z83" i="12" s="1"/>
  <c r="AA81" i="12" s="1"/>
  <c r="E70" i="12"/>
  <c r="AA71" i="12" l="1"/>
  <c r="AA72" i="12" l="1"/>
  <c r="AA77" i="12" s="1"/>
  <c r="AA78" i="12" s="1"/>
  <c r="AA82" i="12" s="1"/>
  <c r="AA83" i="12" s="1"/>
  <c r="AB81" i="12" s="1"/>
  <c r="AB71" i="12"/>
  <c r="AB72" i="12" s="1"/>
  <c r="AB77" i="12" s="1"/>
  <c r="AB78" i="12" s="1"/>
  <c r="AB82" i="12" s="1"/>
  <c r="AC71" i="12" l="1"/>
  <c r="AC72" i="12" s="1"/>
  <c r="AC77" i="12" s="1"/>
  <c r="AC78" i="12" s="1"/>
  <c r="AC82" i="12" s="1"/>
  <c r="AB83" i="12"/>
  <c r="AC81" i="12" s="1"/>
  <c r="AD71" i="12" l="1"/>
  <c r="AD72" i="12" s="1"/>
  <c r="AD77" i="12" s="1"/>
  <c r="AD78" i="12" s="1"/>
  <c r="AD82" i="12" s="1"/>
  <c r="AC83" i="12"/>
  <c r="AD81" i="12" s="1"/>
  <c r="AD83" i="12" l="1"/>
  <c r="AE81" i="12" s="1"/>
  <c r="AE71" i="12"/>
  <c r="AE72" i="12" s="1"/>
  <c r="E71" i="12" l="1"/>
  <c r="AF71" i="12"/>
  <c r="AE77" i="12"/>
  <c r="AF72" i="12"/>
  <c r="AE78" i="12" l="1"/>
  <c r="AF77" i="12"/>
  <c r="AE82" i="12" l="1"/>
  <c r="AE83" i="12" s="1"/>
  <c r="AF83" i="12"/>
  <c r="AF84" i="12" s="1"/>
  <c r="AE84" i="12" l="1"/>
</calcChain>
</file>

<file path=xl/comments1.xml><?xml version="1.0" encoding="utf-8"?>
<comments xmlns="http://schemas.openxmlformats.org/spreadsheetml/2006/main">
  <authors>
    <author>Frederic Vigier</author>
  </authors>
  <commentList>
    <comment ref="H29" authorId="0">
      <text>
        <r>
          <rPr>
            <b/>
            <sz val="9"/>
            <color indexed="81"/>
            <rFont val="Tahoma"/>
            <family val="2"/>
          </rPr>
          <t>Frederic Vigier:</t>
        </r>
        <r>
          <rPr>
            <sz val="9"/>
            <color indexed="81"/>
            <rFont val="Tahoma"/>
            <family val="2"/>
          </rPr>
          <t xml:space="preserve">
Etudes et prestations de service: €24m</t>
        </r>
      </text>
    </comment>
    <comment ref="B168" authorId="0">
      <text>
        <r>
          <rPr>
            <b/>
            <sz val="9"/>
            <color indexed="81"/>
            <rFont val="Tahoma"/>
            <family val="2"/>
          </rPr>
          <t>Frederic Vigier:</t>
        </r>
        <r>
          <rPr>
            <sz val="9"/>
            <color indexed="81"/>
            <rFont val="Tahoma"/>
            <family val="2"/>
          </rPr>
          <t xml:space="preserve">
A vérifier</t>
        </r>
      </text>
    </comment>
    <comment ref="H169" authorId="0">
      <text>
        <r>
          <rPr>
            <b/>
            <sz val="9"/>
            <color indexed="81"/>
            <rFont val="Tahoma"/>
            <family val="2"/>
          </rPr>
          <t>Frederic Vigier:</t>
        </r>
        <r>
          <rPr>
            <sz val="9"/>
            <color indexed="81"/>
            <rFont val="Tahoma"/>
            <family val="2"/>
          </rPr>
          <t xml:space="preserve">
Check</t>
        </r>
      </text>
    </comment>
  </commentList>
</comments>
</file>

<file path=xl/comments2.xml><?xml version="1.0" encoding="utf-8"?>
<comments xmlns="http://schemas.openxmlformats.org/spreadsheetml/2006/main">
  <authors>
    <author>Frederic Vigier</author>
  </authors>
  <commentList>
    <comment ref="B163" authorId="0">
      <text>
        <r>
          <rPr>
            <b/>
            <sz val="9"/>
            <color indexed="81"/>
            <rFont val="Tahoma"/>
            <family val="2"/>
          </rPr>
          <t>Frederic Vigier:</t>
        </r>
        <r>
          <rPr>
            <sz val="9"/>
            <color indexed="81"/>
            <rFont val="Tahoma"/>
            <family val="2"/>
          </rPr>
          <t xml:space="preserve">
A vérifier</t>
        </r>
      </text>
    </comment>
    <comment ref="E164" authorId="0">
      <text>
        <r>
          <rPr>
            <b/>
            <sz val="9"/>
            <color indexed="81"/>
            <rFont val="Tahoma"/>
            <family val="2"/>
          </rPr>
          <t>Frederic Vigier:</t>
        </r>
        <r>
          <rPr>
            <sz val="9"/>
            <color indexed="81"/>
            <rFont val="Tahoma"/>
            <family val="2"/>
          </rPr>
          <t xml:space="preserve">
Check</t>
        </r>
      </text>
    </comment>
  </commentList>
</comments>
</file>

<file path=xl/comments3.xml><?xml version="1.0" encoding="utf-8"?>
<comments xmlns="http://schemas.openxmlformats.org/spreadsheetml/2006/main">
  <authors>
    <author>Frederic Vigier</author>
  </authors>
  <commentList>
    <comment ref="E4" authorId="0">
      <text>
        <r>
          <rPr>
            <b/>
            <sz val="9"/>
            <color indexed="81"/>
            <rFont val="Tahoma"/>
            <family val="2"/>
          </rPr>
          <t>Frederic Vigier:</t>
        </r>
        <r>
          <rPr>
            <sz val="9"/>
            <color indexed="81"/>
            <rFont val="Tahoma"/>
            <family val="2"/>
          </rPr>
          <t xml:space="preserve">
Source Sorégies
</t>
        </r>
      </text>
    </comment>
    <comment ref="B212" authorId="0">
      <text>
        <r>
          <rPr>
            <b/>
            <sz val="9"/>
            <color indexed="81"/>
            <rFont val="Tahoma"/>
            <family val="2"/>
          </rPr>
          <t>Frederic Vigier:</t>
        </r>
        <r>
          <rPr>
            <sz val="9"/>
            <color indexed="81"/>
            <rFont val="Tahoma"/>
            <family val="2"/>
          </rPr>
          <t xml:space="preserve">
A vérifier</t>
        </r>
      </text>
    </comment>
    <comment ref="E213" authorId="0">
      <text>
        <r>
          <rPr>
            <b/>
            <sz val="9"/>
            <color indexed="81"/>
            <rFont val="Tahoma"/>
            <family val="2"/>
          </rPr>
          <t>Frederic Vigier:</t>
        </r>
        <r>
          <rPr>
            <sz val="9"/>
            <color indexed="81"/>
            <rFont val="Tahoma"/>
            <family val="2"/>
          </rPr>
          <t xml:space="preserve">
Check</t>
        </r>
      </text>
    </comment>
  </commentList>
</comments>
</file>

<file path=xl/comments4.xml><?xml version="1.0" encoding="utf-8"?>
<comments xmlns="http://schemas.openxmlformats.org/spreadsheetml/2006/main">
  <authors>
    <author>Frederic Vigier</author>
  </authors>
  <commentList>
    <comment ref="F11" authorId="0">
      <text>
        <r>
          <rPr>
            <b/>
            <sz val="9"/>
            <color indexed="81"/>
            <rFont val="Tahoma"/>
            <charset val="1"/>
          </rPr>
          <t>Frederic Vigier:</t>
        </r>
        <r>
          <rPr>
            <sz val="9"/>
            <color indexed="81"/>
            <rFont val="Tahoma"/>
            <charset val="1"/>
          </rPr>
          <t xml:space="preserve">
A modifier selon les budgets</t>
        </r>
      </text>
    </comment>
    <comment ref="Q91" authorId="0">
      <text>
        <r>
          <rPr>
            <b/>
            <sz val="9"/>
            <color indexed="81"/>
            <rFont val="Tahoma"/>
            <family val="2"/>
          </rPr>
          <t>Frederic Vigier:</t>
        </r>
        <r>
          <rPr>
            <sz val="9"/>
            <color indexed="81"/>
            <rFont val="Tahoma"/>
            <family val="2"/>
          </rPr>
          <t xml:space="preserve">
Chiffres dette et cash du bilan conso au 31.12.08</t>
        </r>
      </text>
    </comment>
  </commentList>
</comments>
</file>

<file path=xl/comments5.xml><?xml version="1.0" encoding="utf-8"?>
<comments xmlns="http://schemas.openxmlformats.org/spreadsheetml/2006/main">
  <authors>
    <author>Delagrandanne</author>
  </authors>
  <commentList>
    <comment ref="G43" authorId="0">
      <text/>
    </comment>
  </commentList>
</comments>
</file>

<file path=xl/sharedStrings.xml><?xml version="1.0" encoding="utf-8"?>
<sst xmlns="http://schemas.openxmlformats.org/spreadsheetml/2006/main" count="759" uniqueCount="431">
  <si>
    <t>Vente Marchandises</t>
  </si>
  <si>
    <t>Production vendue de biens</t>
  </si>
  <si>
    <t>Production vendue de services</t>
  </si>
  <si>
    <t>Chiffre d'affaires net</t>
  </si>
  <si>
    <t>31.12.2007</t>
  </si>
  <si>
    <t>31.12.2008</t>
  </si>
  <si>
    <t>Production stockée</t>
  </si>
  <si>
    <t>Production Immobilisée</t>
  </si>
  <si>
    <t>Subventions d'exploitation</t>
  </si>
  <si>
    <t>Reprise am.&amp;prov. Transfert de charges</t>
  </si>
  <si>
    <t>Autres produits</t>
  </si>
  <si>
    <t>Total produits d'exploitation</t>
  </si>
  <si>
    <t>Achats marchandises</t>
  </si>
  <si>
    <t>Variation stock marchandises</t>
  </si>
  <si>
    <t>Achats matières prem. &amp; autres</t>
  </si>
  <si>
    <t>Var. stock mat prem. &amp; appro.</t>
  </si>
  <si>
    <t>Autres achats et charges externes</t>
  </si>
  <si>
    <t>Impôts, taxes et versements assimilés</t>
  </si>
  <si>
    <t>Salaires &amp; traitements</t>
  </si>
  <si>
    <t>Charges sociales</t>
  </si>
  <si>
    <t>Dotation amort immos</t>
  </si>
  <si>
    <t>Dotation depr.  immos</t>
  </si>
  <si>
    <t>Dotations depr. Actif circulant</t>
  </si>
  <si>
    <t>Dotation aux provisions</t>
  </si>
  <si>
    <t>Autres charges</t>
  </si>
  <si>
    <t>Ebitda</t>
  </si>
  <si>
    <t>Résultat d'exploitation</t>
  </si>
  <si>
    <t>Produits Financiers</t>
  </si>
  <si>
    <t xml:space="preserve">   Dotation fin. aux amort, depr.</t>
  </si>
  <si>
    <t xml:space="preserve">   Intérêts et charges assimilées</t>
  </si>
  <si>
    <t xml:space="preserve">   Charges nettes sur cessions de VMP</t>
  </si>
  <si>
    <t>Charges Financières</t>
  </si>
  <si>
    <t>Résultat Financier</t>
  </si>
  <si>
    <t>Total produits exceptionnels</t>
  </si>
  <si>
    <t xml:space="preserve">   Dotations excep amort, depr</t>
  </si>
  <si>
    <t xml:space="preserve">   Reprises excep amort, depr</t>
  </si>
  <si>
    <t xml:space="preserve">   Chges excep. opérations gestion</t>
  </si>
  <si>
    <t xml:space="preserve">   Chges excep. opérations capital</t>
  </si>
  <si>
    <t xml:space="preserve">   Pdts excep. opérations gestion</t>
  </si>
  <si>
    <t xml:space="preserve">   Pdts excep. opérations capital</t>
  </si>
  <si>
    <t>Total charges exceptionnelles</t>
  </si>
  <si>
    <t>Résultat exceptionnel</t>
  </si>
  <si>
    <t>Résultat avant Impôts</t>
  </si>
  <si>
    <t>Impôts sur les bénéfices</t>
  </si>
  <si>
    <t>Bénéfice ou Perte</t>
  </si>
  <si>
    <t>Loyers de crédit bail</t>
  </si>
  <si>
    <t>Participation des salariés</t>
  </si>
  <si>
    <t xml:space="preserve">   Frais d'établissement</t>
  </si>
  <si>
    <t xml:space="preserve">   Frais de développement</t>
  </si>
  <si>
    <t xml:space="preserve">   Concessions, brevets, droit similaire</t>
  </si>
  <si>
    <t>Immobilisations incorporelles</t>
  </si>
  <si>
    <t xml:space="preserve">   Terrains</t>
  </si>
  <si>
    <t xml:space="preserve">   Constructions</t>
  </si>
  <si>
    <t xml:space="preserve">   Installations techniques, mat., outillage</t>
  </si>
  <si>
    <t xml:space="preserve">   Autres immos corporelles</t>
  </si>
  <si>
    <t>Immobilisations corporelles</t>
  </si>
  <si>
    <t xml:space="preserve">   Autres immos financières</t>
  </si>
  <si>
    <t>Immobilisations Financières</t>
  </si>
  <si>
    <t>Actif Immobilisé</t>
  </si>
  <si>
    <t xml:space="preserve">   En cours de production de biens</t>
  </si>
  <si>
    <t xml:space="preserve">   Produits intermédiaires et finis</t>
  </si>
  <si>
    <t>Stocks</t>
  </si>
  <si>
    <t>Créances clients et comptes rattachés</t>
  </si>
  <si>
    <t>Autres créances</t>
  </si>
  <si>
    <t>Disponibilités</t>
  </si>
  <si>
    <t>Comptes de régularisation</t>
  </si>
  <si>
    <t>Actif Circulant</t>
  </si>
  <si>
    <t>TOTAL ACTIF</t>
  </si>
  <si>
    <t>Capitaux Propres</t>
  </si>
  <si>
    <t xml:space="preserve">   Capital social</t>
  </si>
  <si>
    <t xml:space="preserve">   Réserve légale</t>
  </si>
  <si>
    <t xml:space="preserve">   Autres réserves</t>
  </si>
  <si>
    <t xml:space="preserve">   Report à nouveau</t>
  </si>
  <si>
    <t xml:space="preserve">   Résultat de l'exercice</t>
  </si>
  <si>
    <t>Provisions</t>
  </si>
  <si>
    <t xml:space="preserve">   Emprunts obligataires</t>
  </si>
  <si>
    <t xml:space="preserve">   Emprunts et dettes / ets de crédit</t>
  </si>
  <si>
    <t xml:space="preserve">   Emprunts et dettes fin. Divers</t>
  </si>
  <si>
    <t xml:space="preserve">   Dettes fournisseurs</t>
  </si>
  <si>
    <t xml:space="preserve">   Dettes fiscales et sociales</t>
  </si>
  <si>
    <t xml:space="preserve">   Dettes sur immos</t>
  </si>
  <si>
    <t xml:space="preserve">   Autres dettes</t>
  </si>
  <si>
    <t>TOTAL PASSIF</t>
  </si>
  <si>
    <t>Cash Flow €'000</t>
  </si>
  <si>
    <t>Investissements</t>
  </si>
  <si>
    <t>Variation du besoin en fonds de roulement</t>
  </si>
  <si>
    <t>Cash Flow d'Exploitation</t>
  </si>
  <si>
    <t>Amortissement des dettes financières</t>
  </si>
  <si>
    <t>Variation des disponibilités</t>
  </si>
  <si>
    <t>Variation des autres dettes</t>
  </si>
  <si>
    <t>BFR</t>
  </si>
  <si>
    <t>Check</t>
  </si>
  <si>
    <t>Ajustement</t>
  </si>
  <si>
    <t>BFR en jours de CA</t>
  </si>
  <si>
    <t>Ratios</t>
  </si>
  <si>
    <t>Croissance CA</t>
  </si>
  <si>
    <t>Marge Brute</t>
  </si>
  <si>
    <t>Achats / CA</t>
  </si>
  <si>
    <t>Salaires / CA</t>
  </si>
  <si>
    <t>Ebitda / CA</t>
  </si>
  <si>
    <t>Ebit / CA</t>
  </si>
  <si>
    <t xml:space="preserve">   Immobilisations en cours</t>
  </si>
  <si>
    <t xml:space="preserve">   Marchandises</t>
  </si>
  <si>
    <t>BFRE en jours de CA</t>
  </si>
  <si>
    <t>Stocks en jours d'achats HT</t>
  </si>
  <si>
    <t>Clients de jours de CA TTC</t>
  </si>
  <si>
    <t>Fournisseurs en jours d'achats TTC</t>
  </si>
  <si>
    <t>Actif Economique Net</t>
  </si>
  <si>
    <t>BFRE</t>
  </si>
  <si>
    <t>Total Actif Economique</t>
  </si>
  <si>
    <t>Autres ?</t>
  </si>
  <si>
    <t>Rentabilité économique</t>
  </si>
  <si>
    <t>EBIT retraité</t>
  </si>
  <si>
    <t>6 mois</t>
  </si>
  <si>
    <t>Compte de résultat  Consolidé € 'mios</t>
  </si>
  <si>
    <t xml:space="preserve">   Aurtes immobilisations corporelles (concédant)</t>
  </si>
  <si>
    <t xml:space="preserve">   Réseau 1er établissement</t>
  </si>
  <si>
    <t xml:space="preserve">   Renouvellement Réseau</t>
  </si>
  <si>
    <t xml:space="preserve">   Titres de Participations</t>
  </si>
  <si>
    <t xml:space="preserve">   Titres de ssociétés mises en équivalence</t>
  </si>
  <si>
    <t xml:space="preserve">   Droits du concédant</t>
  </si>
  <si>
    <t xml:space="preserve">   Droits du concédant (Renouvellement)</t>
  </si>
  <si>
    <t>Autres Fonds Propres</t>
  </si>
  <si>
    <t xml:space="preserve">   Av. et acptes reçus</t>
  </si>
  <si>
    <t>Bilan - Actif €'mios</t>
  </si>
  <si>
    <t>Bilan - Passif €'mios</t>
  </si>
  <si>
    <t>Exceptionnels - cash</t>
  </si>
  <si>
    <t>CAF</t>
  </si>
  <si>
    <t>Intérêts</t>
  </si>
  <si>
    <t>Production immobilisée</t>
  </si>
  <si>
    <t>Quote part des subventions d'investissement</t>
  </si>
  <si>
    <t>Quote Part résultat sociétés mises en équivalence</t>
  </si>
  <si>
    <t>Dotation Ecart Acquisition</t>
  </si>
  <si>
    <t>Intérêts minoritaires</t>
  </si>
  <si>
    <t>Ventes Energie Hors Trading</t>
  </si>
  <si>
    <t>Ventes Trading</t>
  </si>
  <si>
    <t>Prestations de services</t>
  </si>
  <si>
    <t xml:space="preserve">   Intérêts minoritaires</t>
  </si>
  <si>
    <t xml:space="preserve">   Subventions d'investissement</t>
  </si>
  <si>
    <t>Subventions reçues</t>
  </si>
  <si>
    <t>Augmentation de capital</t>
  </si>
  <si>
    <t>Dividendes distribués</t>
  </si>
  <si>
    <t>Dividendes perçus</t>
  </si>
  <si>
    <t>stab</t>
  </si>
  <si>
    <t>WACC</t>
  </si>
  <si>
    <t>VE</t>
  </si>
  <si>
    <t>Cash</t>
  </si>
  <si>
    <t>CAPEX</t>
  </si>
  <si>
    <t>Ebit</t>
  </si>
  <si>
    <t>RN</t>
  </si>
  <si>
    <t>CA</t>
  </si>
  <si>
    <t>E de Strasbourg</t>
  </si>
  <si>
    <t>CAPEX récurrents</t>
  </si>
  <si>
    <t>Ebitda - CAPEX récurr</t>
  </si>
  <si>
    <t>moyenne</t>
  </si>
  <si>
    <t xml:space="preserve"> </t>
  </si>
  <si>
    <t>Electricité</t>
  </si>
  <si>
    <t>Gaz</t>
  </si>
  <si>
    <t>Eclairage Public</t>
  </si>
  <si>
    <t>Travaux Refacturés à Gérédis</t>
  </si>
  <si>
    <t>PCB Facturé à Gérédis</t>
  </si>
  <si>
    <t>Autres prestations facturées à Gérédis</t>
  </si>
  <si>
    <t>Prestations aux clients</t>
  </si>
  <si>
    <t>Autres facturations</t>
  </si>
  <si>
    <t>Ajustemement Social / conso</t>
  </si>
  <si>
    <t>Investisements Séolis Social 2011</t>
  </si>
  <si>
    <t>Projets informatique</t>
  </si>
  <si>
    <t>M€</t>
  </si>
  <si>
    <t>M€, dont 1,7 pour le système de facturation</t>
  </si>
  <si>
    <t>Renouv. Matériel de transport</t>
  </si>
  <si>
    <t>Mat et équipements</t>
  </si>
  <si>
    <t>Mobilier et matériel info</t>
  </si>
  <si>
    <t>TOTAL</t>
  </si>
  <si>
    <t>Réseau Gérédis?</t>
  </si>
  <si>
    <t>Amortissements</t>
  </si>
  <si>
    <t>Résultat Brut d'Exploitation</t>
  </si>
  <si>
    <t>IS téorique</t>
  </si>
  <si>
    <t>Chiffre d'affaires</t>
  </si>
  <si>
    <t>Flux de trésorerie</t>
  </si>
  <si>
    <t>IS</t>
  </si>
  <si>
    <t>Prime de risque actions Fr</t>
  </si>
  <si>
    <t>Beta Distribution Energie</t>
  </si>
  <si>
    <t>Poids capital</t>
  </si>
  <si>
    <t>Valeur terminale</t>
  </si>
  <si>
    <t>Taux d'actualisation</t>
  </si>
  <si>
    <t>Flux actualisés</t>
  </si>
  <si>
    <t>Valeur d'entreprise</t>
  </si>
  <si>
    <t>Dette Financière</t>
  </si>
  <si>
    <t>Trésorerie</t>
  </si>
  <si>
    <t>Retard d'investissement</t>
  </si>
  <si>
    <t>Valeur des titres</t>
  </si>
  <si>
    <t>Croiss</t>
  </si>
  <si>
    <t>Norm.</t>
  </si>
  <si>
    <t>Normatif</t>
  </si>
  <si>
    <t>2011-2015</t>
  </si>
  <si>
    <t>Taux d'impôts</t>
  </si>
  <si>
    <t>Cash Flow</t>
  </si>
  <si>
    <t>Taxes</t>
  </si>
  <si>
    <t>€ millions</t>
  </si>
  <si>
    <t>Flux de trésorerie (€ millions)</t>
  </si>
  <si>
    <t>Valeur de la participation de 15% détenue par Sorégies</t>
  </si>
  <si>
    <t>Croissance à Long Terme</t>
  </si>
  <si>
    <t>Valeur d'entreprise (€ mios)</t>
  </si>
  <si>
    <t>Subventions</t>
  </si>
  <si>
    <t xml:space="preserve">   Investissements Sorégies</t>
  </si>
  <si>
    <t xml:space="preserve">   Investissements SRD</t>
  </si>
  <si>
    <t>Contrat de Production</t>
  </si>
  <si>
    <t>Titres Séolis</t>
  </si>
  <si>
    <t>Valeur d'entreprise / EBE</t>
  </si>
  <si>
    <t>Valeur d'entreprise / Rex</t>
  </si>
  <si>
    <t>Budget</t>
  </si>
  <si>
    <t>Dette Financière au 31/2/2010 hors Production</t>
  </si>
  <si>
    <t>Trésorerie au 31/12/2010</t>
  </si>
  <si>
    <t xml:space="preserve">   Ventes d'électricité</t>
  </si>
  <si>
    <t xml:space="preserve">   Ventes de Gaz Naturel</t>
  </si>
  <si>
    <t xml:space="preserve">   Vente de Gaz Propane</t>
  </si>
  <si>
    <t xml:space="preserve">   Ventes Trading</t>
  </si>
  <si>
    <t xml:space="preserve">   Ventes Production Electricité</t>
  </si>
  <si>
    <t xml:space="preserve">   Facturation de travaux à SRD</t>
  </si>
  <si>
    <t xml:space="preserve">   Facturation de services à SRD</t>
  </si>
  <si>
    <t xml:space="preserve">   Ventes Eclairage Public</t>
  </si>
  <si>
    <t xml:space="preserve">   Ventes Câble / Internet</t>
  </si>
  <si>
    <t xml:space="preserve">   Ventes Cartographie</t>
  </si>
  <si>
    <t xml:space="preserve">   Autres prestations de Services</t>
  </si>
  <si>
    <t>Travaux, Etudes et Prestations</t>
  </si>
  <si>
    <t xml:space="preserve">   Achats Electricité</t>
  </si>
  <si>
    <t xml:space="preserve">   Achats Gaz Naturel</t>
  </si>
  <si>
    <t xml:space="preserve">   Achats Gaz Propane</t>
  </si>
  <si>
    <t xml:space="preserve">   Achats Trading</t>
  </si>
  <si>
    <t xml:space="preserve">   Achats Production Electricité</t>
  </si>
  <si>
    <t>Achats d'Energie</t>
  </si>
  <si>
    <t xml:space="preserve">   Achats Stockés Mat. Premières et Fournitures</t>
  </si>
  <si>
    <t xml:space="preserve">   Variations de Stocks</t>
  </si>
  <si>
    <t xml:space="preserve">   Achats Etures, Travaux et Prestations de Service</t>
  </si>
  <si>
    <t xml:space="preserve">   Achats non Stockés</t>
  </si>
  <si>
    <t>Autres Achats et Variations de Stocks</t>
  </si>
  <si>
    <t>Dotation aux provisions (R&amp;C et autres).</t>
  </si>
  <si>
    <t>Amortissement et Provision des Biens Concédés</t>
  </si>
  <si>
    <t>Total Ventes Energie</t>
  </si>
  <si>
    <t>Marge sur Trading</t>
  </si>
  <si>
    <t>Marge sur Production</t>
  </si>
  <si>
    <t>Marge sur Electricité</t>
  </si>
  <si>
    <t>Marge sur Gaz</t>
  </si>
  <si>
    <t>Marge totale Energie</t>
  </si>
  <si>
    <t xml:space="preserve">        Nombre de clients en '000</t>
  </si>
  <si>
    <t xml:space="preserve">        Revenu par client en € '000</t>
  </si>
  <si>
    <t xml:space="preserve">        Volumes</t>
  </si>
  <si>
    <t xml:space="preserve">       Prix par tonne € '000</t>
  </si>
  <si>
    <t>Sorégies</t>
  </si>
  <si>
    <t>SRD</t>
  </si>
  <si>
    <t>SIEEDV</t>
  </si>
  <si>
    <t>Subv invest</t>
  </si>
  <si>
    <t>Taxe Elec</t>
  </si>
  <si>
    <t>Redevance</t>
  </si>
  <si>
    <t>Acheminement</t>
  </si>
  <si>
    <t>Conventions</t>
  </si>
  <si>
    <t>Solde</t>
  </si>
  <si>
    <t xml:space="preserve">   Ebitda hors producton</t>
  </si>
  <si>
    <t>Ebitda SRD</t>
  </si>
  <si>
    <t>Estimations FV</t>
  </si>
  <si>
    <t>Dettes financières  contractées lors de l'exercice</t>
  </si>
  <si>
    <t>Variation des subventions</t>
  </si>
  <si>
    <t xml:space="preserve">   Participations clients sur travaux</t>
  </si>
  <si>
    <t>Date</t>
  </si>
  <si>
    <t>Données contrats</t>
  </si>
  <si>
    <t>Année</t>
  </si>
  <si>
    <t>dégradation de puissance</t>
  </si>
  <si>
    <t>puissance résiduelle (moyenne 794MW)</t>
  </si>
  <si>
    <t>Puissance allouée à Sorégies</t>
  </si>
  <si>
    <t>Rdégradation</t>
  </si>
  <si>
    <t>Jours d'arret programmés</t>
  </si>
  <si>
    <t>PFE0</t>
  </si>
  <si>
    <t>€</t>
  </si>
  <si>
    <t>EBI0</t>
  </si>
  <si>
    <t>moy 9 dernières valeurs publiés au 010107</t>
  </si>
  <si>
    <t>IPC0 TCH0</t>
  </si>
  <si>
    <t>ICC0</t>
  </si>
  <si>
    <t>moy 3 derniers trimestres au 010107</t>
  </si>
  <si>
    <t>ICHTTS0</t>
  </si>
  <si>
    <t>Hypothèses de variation annuelle des indices</t>
  </si>
  <si>
    <t>Références d'évolution</t>
  </si>
  <si>
    <t>EBI</t>
  </si>
  <si>
    <t>moyenne depuis juin-05</t>
  </si>
  <si>
    <t>IPC TCH</t>
  </si>
  <si>
    <t>Moyenne 5 ans</t>
  </si>
  <si>
    <t>ICC</t>
  </si>
  <si>
    <t>ICHTTS</t>
  </si>
  <si>
    <t>I</t>
  </si>
  <si>
    <t>W</t>
  </si>
  <si>
    <t>Inflation prix gaz</t>
  </si>
  <si>
    <t>Inflation prix élec</t>
  </si>
  <si>
    <t>Inflation Prix CO2</t>
  </si>
  <si>
    <t>Heures CO2 gratuits</t>
  </si>
  <si>
    <t>Inflaxtion couts GRT gaz</t>
  </si>
  <si>
    <t>Prix CO2 (€/tonne)</t>
  </si>
  <si>
    <t>Données contrat</t>
  </si>
  <si>
    <t>Rédafaillance</t>
  </si>
  <si>
    <t>Ratio Prix année avril-sept/Prix année Peak</t>
  </si>
  <si>
    <t>RCo2</t>
  </si>
  <si>
    <t>Px gaz moyen heures de fonctionnament période indispo programmée</t>
  </si>
  <si>
    <t>Début livraison : 01/04/2010</t>
  </si>
  <si>
    <t>Couts</t>
  </si>
  <si>
    <t>Prime fixe d'exploitation</t>
  </si>
  <si>
    <t>Ceci correspond aux couts variables payés par Sorégies (gaz, Co2, démarrages) à la SNET pour le contrat de droits de tirage</t>
  </si>
  <si>
    <t>Démarrages/achat Co2 total consommé/part variable gaz /taxe 0,18</t>
  </si>
  <si>
    <t>Couts allocation capacité GRT Gaz</t>
  </si>
  <si>
    <t>Réduction part variable gaz &amp; démarrages pour arret programmé</t>
  </si>
  <si>
    <t>Somme charges €</t>
  </si>
  <si>
    <t>Taxe organic</t>
  </si>
  <si>
    <t xml:space="preserve">Chiffre d'affaires </t>
  </si>
  <si>
    <t>Les 3 premières années sont établies sur la base du contrat de vente d'option conclu. La prime 2012 est reproduite à partir de 2013 impactée positivement par une l'inflation de 1,7% mais est à l'inverse impactée négativement par un facteur de 10% (et dans une moindre mesure par la dégradation du rendement)</t>
  </si>
  <si>
    <t>Chiffre d'affaires option prime fixe</t>
  </si>
  <si>
    <t>Ce chiffre d'affaires correspond au paiement du strike  de l'option par la contrepartie et est égal aux couts variables supportées par Sorégies par construction du Termsheet de l'option</t>
  </si>
  <si>
    <t>Chiffre d'affaire options couts strike</t>
  </si>
  <si>
    <t>Hypothèse : aucun CO2 gratuit après 2013, mais "banking" de l'excédent de valeur constaté sur 2010-2012 vers 2013</t>
  </si>
  <si>
    <t>Revente Co2 gratuite</t>
  </si>
  <si>
    <t>Perte chiffre d'affaires indisponibilité fortuite</t>
  </si>
  <si>
    <t>Chiffre d'affaires réel en tenant compte indispo</t>
  </si>
  <si>
    <t>Investissement</t>
  </si>
  <si>
    <t>Hyp paiement POR au 01/04/08</t>
  </si>
  <si>
    <t>Paiement POE au 01/01/2010</t>
  </si>
  <si>
    <t>EBE (Excédent Brut d'Exploitation</t>
  </si>
  <si>
    <t>Amortissement</t>
  </si>
  <si>
    <t>Interets emprunts</t>
  </si>
  <si>
    <t>Marge avant impots</t>
  </si>
  <si>
    <t>Moyenne</t>
  </si>
  <si>
    <t>Résultat d'exploitation en € courants</t>
  </si>
  <si>
    <t>Résultat financier en € courants</t>
  </si>
  <si>
    <t>Résultat avant impots</t>
  </si>
  <si>
    <t>Traitement fiscal</t>
  </si>
  <si>
    <t>IS théorique</t>
  </si>
  <si>
    <t>IS applicable avec report</t>
  </si>
  <si>
    <t>Marge après IS</t>
  </si>
  <si>
    <t xml:space="preserve"> Référence scénario médian BZP Initial - Marge après IS</t>
  </si>
  <si>
    <t>Marge après IS BZP médian référence</t>
  </si>
  <si>
    <t>Cash Flow avant remboursement capital</t>
  </si>
  <si>
    <t>cash Flow après remboursement capital</t>
  </si>
  <si>
    <t>affectation 1/2 au remboursement</t>
  </si>
  <si>
    <t>Cash flow initial</t>
  </si>
  <si>
    <t>cash flow dégagé</t>
  </si>
  <si>
    <t>solde 31/12/n</t>
  </si>
  <si>
    <t>Nombres de MW</t>
  </si>
  <si>
    <t>Vente de l'option 2013 à 2035</t>
  </si>
  <si>
    <t xml:space="preserve">Cout de l'investissement pour </t>
  </si>
  <si>
    <t>à un prix égal à</t>
  </si>
  <si>
    <t>de la référence 2010-2012</t>
  </si>
  <si>
    <t>Part autofinancée</t>
  </si>
  <si>
    <t>Taux de l'emprunt</t>
  </si>
  <si>
    <t>Banking sur 2013 de la survaleur de CO2 au titre de 2010-2012</t>
  </si>
  <si>
    <t>après affectation</t>
  </si>
  <si>
    <t>interet annuel</t>
  </si>
  <si>
    <t>capital remboursé</t>
  </si>
  <si>
    <t>capital restant du</t>
  </si>
  <si>
    <t>Produits constatés d'avance / Prime Fixe</t>
  </si>
  <si>
    <t>EBE</t>
  </si>
  <si>
    <t>EBIT</t>
  </si>
  <si>
    <t>Valeur du contrat</t>
  </si>
  <si>
    <t>Dette</t>
  </si>
  <si>
    <t>Valeur du contrat - Fonds propres</t>
  </si>
  <si>
    <t xml:space="preserve">       GWh distribués en '000</t>
  </si>
  <si>
    <t>Activité arrêtée</t>
  </si>
  <si>
    <t>ok budget 2001, puis BP Nov2010</t>
  </si>
  <si>
    <t>Réconcialiation Présentation Novembre</t>
  </si>
  <si>
    <t>Lazard</t>
  </si>
  <si>
    <t>FV</t>
  </si>
  <si>
    <t xml:space="preserve">   Investissements Sorégies Gaz</t>
  </si>
  <si>
    <t>Séolis</t>
  </si>
  <si>
    <t>Ebitda 2007</t>
  </si>
  <si>
    <t>Ebit 2007</t>
  </si>
  <si>
    <t>VE / EBE</t>
  </si>
  <si>
    <t>VE / Rex</t>
  </si>
  <si>
    <t>Poids dette</t>
  </si>
  <si>
    <t>Coût dette</t>
  </si>
  <si>
    <t>Poids dette nette</t>
  </si>
  <si>
    <t>Coût du capital</t>
  </si>
  <si>
    <t>Fonds propres</t>
  </si>
  <si>
    <t>Dette nette à 12/2010</t>
  </si>
  <si>
    <t>Beta Leveragé</t>
  </si>
  <si>
    <t>Taux sans risque nominal 4,20 %</t>
  </si>
  <si>
    <t>Spread de la dette 0,60 %</t>
  </si>
  <si>
    <t>Béta des actifs 0,33</t>
  </si>
  <si>
    <t>Béta des fonds propres 0,66</t>
  </si>
  <si>
    <t>Prime de marché 4,50 %</t>
  </si>
  <si>
    <t>Levier (dette / dette + capitaux propres) 60,00 %</t>
  </si>
  <si>
    <t>Taux IS 34,43 %</t>
  </si>
  <si>
    <t>Coût de la dette* 4,80 %</t>
  </si>
  <si>
    <t>Coût des fonds propres* 10,92 %</t>
  </si>
  <si>
    <t>CMPC nominal avant IS 7,25 %</t>
  </si>
  <si>
    <t>*nominal avant IS</t>
  </si>
  <si>
    <t>CRE</t>
  </si>
  <si>
    <t>Fds Pr</t>
  </si>
  <si>
    <t>Poids K</t>
  </si>
  <si>
    <t>Ebitda Sorégies</t>
  </si>
  <si>
    <t>Ebitda production</t>
  </si>
  <si>
    <t>Ebitda Conso</t>
  </si>
  <si>
    <t>Achat</t>
  </si>
  <si>
    <t>OAT 10 ans (moy 3 mois)</t>
  </si>
  <si>
    <t>HES</t>
  </si>
  <si>
    <t>Croiss.</t>
  </si>
  <si>
    <t>- 2001: Budget 2011 présenté au Directoire</t>
  </si>
  <si>
    <t>- 2012 - 2014: Plan présenté aux banques en nov. 2010</t>
  </si>
  <si>
    <t>- 2015: croissance de 2,5%</t>
  </si>
  <si>
    <t>- 2011: Budget 2011 présenté au Directoire</t>
  </si>
  <si>
    <t>- 2012 - 2014 : croissance de 2,5% p.a.</t>
  </si>
  <si>
    <t>Hypothèses EBE Sorégies</t>
  </si>
  <si>
    <t>EBE Sorégies hors production</t>
  </si>
  <si>
    <t>EBE SRD</t>
  </si>
  <si>
    <t>Excédent Brut d'Exploitation conso</t>
  </si>
  <si>
    <t>Hypothèses EBE SRD</t>
  </si>
  <si>
    <t>- 2012 - 2015: Plan présenté aux banques en nov. 2010</t>
  </si>
  <si>
    <r>
      <rPr>
        <b/>
        <sz val="11"/>
        <color rgb="FF002060"/>
        <rFont val="Calibri"/>
        <family val="2"/>
        <scheme val="minor"/>
      </rPr>
      <t>Production :</t>
    </r>
    <r>
      <rPr>
        <sz val="11"/>
        <color rgb="FF002060"/>
        <rFont val="Calibri"/>
        <family val="2"/>
        <scheme val="minor"/>
      </rPr>
      <t xml:space="preserve"> BZP avec remb. Anticipé, hors cession de 10%</t>
    </r>
  </si>
  <si>
    <t>Investissements et subventions: Sorégies et SRD</t>
  </si>
  <si>
    <t>Norm</t>
  </si>
  <si>
    <t>Prime de risque actions France</t>
  </si>
  <si>
    <t>Multiples de résultat</t>
  </si>
  <si>
    <t>Compte de résultat (€ millions)</t>
  </si>
  <si>
    <t>CMPC</t>
  </si>
  <si>
    <t>Hypothèses CMPC</t>
  </si>
  <si>
    <t>BFR Conso  en jours de CA:</t>
  </si>
  <si>
    <t>Taux d'impôts:</t>
  </si>
  <si>
    <t>In vestissements</t>
  </si>
  <si>
    <t>Séolis : Budget 2011 puis 2,5% p.a.</t>
  </si>
  <si>
    <t>Gérédis : hausse de 2,0% p.a., puis valeur "normative" de €21,2m</t>
  </si>
  <si>
    <t>Hypothèses EBE Consolidé:</t>
  </si>
  <si>
    <t>- Croissance de 2% p.a. entre 2011 et 2015</t>
  </si>
  <si>
    <t>Il n'a pas été possible à ce stade d'obtenir d'informations sur Gérédis, qui génère une partie importante de l'EBE.</t>
  </si>
  <si>
    <t>IMPORTANT:  Ces chiffres sont basés sur une information extrêment parcellaire (budget 2001 Séolis seul et comptes consolidés 2009).</t>
  </si>
  <si>
    <t>- 2001: EBE 2009 + hausse marge énergie du budg. 2011 (+€1,6m)</t>
  </si>
  <si>
    <t>Cession SRD</t>
  </si>
  <si>
    <t>SEOLIS</t>
  </si>
  <si>
    <t>SOREGIES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</si>
</sst>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#,##0.0"/>
    <numFmt numFmtId="165" formatCode="#,##0.000"/>
    <numFmt numFmtId="166" formatCode="0.0%"/>
    <numFmt numFmtId="167" formatCode="dd/mm/yy;@"/>
    <numFmt numFmtId="168" formatCode="0.0"/>
    <numFmt numFmtId="169" formatCode="#,##0.0000"/>
    <numFmt numFmtId="170" formatCode="0.00\x"/>
    <numFmt numFmtId="171" formatCode="0.000"/>
    <numFmt numFmtId="172" formatCode="0.0000"/>
    <numFmt numFmtId="173" formatCode="yyyy"/>
    <numFmt numFmtId="174" formatCode="_-* #,##0\ &quot;€&quot;_-;\-* #,##0\ &quot;€&quot;_-;_-* &quot;-&quot;??\ &quot;€&quot;_-;_-@_-"/>
  </numFmts>
  <fonts count="3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3" tint="-0.249977111117893"/>
      <name val="Calibri"/>
      <family val="2"/>
      <scheme val="minor"/>
    </font>
    <font>
      <b/>
      <sz val="11"/>
      <color theme="3" tint="-0.249977111117893"/>
      <name val="Calibri"/>
      <family val="2"/>
      <scheme val="minor"/>
    </font>
    <font>
      <i/>
      <sz val="11"/>
      <color theme="3" tint="-0.249977111117893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indexed="43"/>
      <name val="Arial"/>
      <family val="2"/>
    </font>
    <font>
      <i/>
      <sz val="10"/>
      <color indexed="43"/>
      <name val="Arial"/>
      <family val="2"/>
    </font>
    <font>
      <sz val="10"/>
      <color indexed="9"/>
      <name val="Arial"/>
      <family val="2"/>
    </font>
    <font>
      <i/>
      <sz val="10"/>
      <name val="Arial"/>
      <family val="2"/>
    </font>
    <font>
      <i/>
      <sz val="10"/>
      <color indexed="12"/>
      <name val="Arial"/>
      <family val="2"/>
    </font>
    <font>
      <sz val="10"/>
      <color indexed="12"/>
      <name val="Arial"/>
      <family val="2"/>
    </font>
    <font>
      <sz val="10"/>
      <color indexed="48"/>
      <name val="Arial"/>
      <family val="2"/>
    </font>
    <font>
      <b/>
      <sz val="10"/>
      <color indexed="10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2"/>
      <name val="Arial"/>
      <family val="2"/>
    </font>
    <font>
      <sz val="10"/>
      <name val="MS Sans Serif"/>
      <family val="2"/>
    </font>
    <font>
      <b/>
      <sz val="10"/>
      <color indexed="48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sz val="12"/>
      <name val="Times New Roman"/>
      <family val="1"/>
    </font>
    <font>
      <sz val="10"/>
      <name val="Times New Roman"/>
      <family val="1"/>
    </font>
    <font>
      <sz val="11"/>
      <color rgb="FF002060"/>
      <name val="Calibri"/>
      <family val="2"/>
      <scheme val="minor"/>
    </font>
    <font>
      <i/>
      <sz val="11"/>
      <color rgb="FF002060"/>
      <name val="Calibri"/>
      <family val="2"/>
      <scheme val="minor"/>
    </font>
    <font>
      <b/>
      <sz val="11"/>
      <color rgb="FF002060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4" tint="0.79998168889431442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theme="3" tint="-0.24994659260841701"/>
      </top>
      <bottom/>
      <diagonal/>
    </border>
    <border>
      <left/>
      <right/>
      <top/>
      <bottom style="medium">
        <color theme="3" tint="-0.2499465926084170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theme="3" tint="-0.24994659260841701"/>
      </top>
      <bottom style="thin">
        <color theme="3" tint="-0.24994659260841701"/>
      </bottom>
      <diagonal/>
    </border>
    <border>
      <left/>
      <right/>
      <top/>
      <bottom style="thin">
        <color theme="3" tint="-0.24994659260841701"/>
      </bottom>
      <diagonal/>
    </border>
    <border>
      <left style="thin">
        <color theme="3" tint="-0.24994659260841701"/>
      </left>
      <right/>
      <top style="thin">
        <color theme="3" tint="-0.24994659260841701"/>
      </top>
      <bottom/>
      <diagonal/>
    </border>
    <border>
      <left/>
      <right style="thin">
        <color theme="3" tint="-0.24994659260841701"/>
      </right>
      <top style="thin">
        <color theme="3" tint="-0.24994659260841701"/>
      </top>
      <bottom/>
      <diagonal/>
    </border>
    <border>
      <left style="thin">
        <color theme="3" tint="-0.24994659260841701"/>
      </left>
      <right/>
      <top/>
      <bottom style="thin">
        <color theme="3" tint="-0.24994659260841701"/>
      </bottom>
      <diagonal/>
    </border>
    <border>
      <left/>
      <right style="thin">
        <color theme="3" tint="-0.24994659260841701"/>
      </right>
      <top/>
      <bottom style="thin">
        <color theme="3" tint="-0.24994659260841701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3" tint="-0.24994659260841701"/>
      </left>
      <right/>
      <top/>
      <bottom/>
      <diagonal/>
    </border>
    <border>
      <left/>
      <right style="thin">
        <color theme="3" tint="-0.24994659260841701"/>
      </right>
      <top/>
      <bottom/>
      <diagonal/>
    </border>
    <border>
      <left style="thin">
        <color rgb="FFFF0000"/>
      </left>
      <right/>
      <top style="thin">
        <color rgb="FFFF0000"/>
      </top>
      <bottom/>
      <diagonal/>
    </border>
    <border>
      <left/>
      <right/>
      <top style="thin">
        <color rgb="FFFF0000"/>
      </top>
      <bottom/>
      <diagonal/>
    </border>
    <border>
      <left/>
      <right style="thin">
        <color rgb="FFFF0000"/>
      </right>
      <top style="thin">
        <color rgb="FFFF0000"/>
      </top>
      <bottom/>
      <diagonal/>
    </border>
    <border>
      <left style="thin">
        <color rgb="FFFF0000"/>
      </left>
      <right/>
      <top/>
      <bottom style="thin">
        <color rgb="FFFF0000"/>
      </bottom>
      <diagonal/>
    </border>
    <border>
      <left/>
      <right/>
      <top/>
      <bottom style="thin">
        <color rgb="FFFF0000"/>
      </bottom>
      <diagonal/>
    </border>
    <border>
      <left/>
      <right style="thin">
        <color rgb="FFFF0000"/>
      </right>
      <top/>
      <bottom style="thin">
        <color rgb="FFFF0000"/>
      </bottom>
      <diagonal/>
    </border>
  </borders>
  <cellStyleXfs count="7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5" fillId="0" borderId="0"/>
    <xf numFmtId="9" fontId="15" fillId="0" borderId="0" applyFont="0" applyFill="0" applyBorder="0" applyAlignment="0" applyProtection="0"/>
    <xf numFmtId="0" fontId="28" fillId="0" borderId="0"/>
    <xf numFmtId="44" fontId="15" fillId="0" borderId="0" applyFont="0" applyFill="0" applyBorder="0" applyAlignment="0" applyProtection="0"/>
  </cellStyleXfs>
  <cellXfs count="566">
    <xf numFmtId="0" fontId="0" fillId="0" borderId="0" xfId="0"/>
    <xf numFmtId="164" fontId="0" fillId="0" borderId="0" xfId="0" applyNumberFormat="1"/>
    <xf numFmtId="0" fontId="2" fillId="0" borderId="0" xfId="0" applyFont="1"/>
    <xf numFmtId="164" fontId="2" fillId="0" borderId="0" xfId="0" applyNumberFormat="1" applyFont="1"/>
    <xf numFmtId="165" fontId="0" fillId="0" borderId="0" xfId="0" applyNumberFormat="1"/>
    <xf numFmtId="0" fontId="2" fillId="0" borderId="1" xfId="0" applyFont="1" applyBorder="1"/>
    <xf numFmtId="164" fontId="2" fillId="0" borderId="2" xfId="0" applyNumberFormat="1" applyFont="1" applyBorder="1"/>
    <xf numFmtId="0" fontId="2" fillId="0" borderId="0" xfId="0" applyFont="1" applyFill="1" applyBorder="1"/>
    <xf numFmtId="0" fontId="0" fillId="0" borderId="0" xfId="0" applyFont="1" applyFill="1" applyBorder="1"/>
    <xf numFmtId="167" fontId="2" fillId="0" borderId="1" xfId="0" applyNumberFormat="1" applyFont="1" applyBorder="1"/>
    <xf numFmtId="167" fontId="2" fillId="0" borderId="2" xfId="0" applyNumberFormat="1" applyFont="1" applyBorder="1"/>
    <xf numFmtId="167" fontId="0" fillId="0" borderId="0" xfId="0" applyNumberFormat="1"/>
    <xf numFmtId="0" fontId="0" fillId="2" borderId="0" xfId="0" applyFill="1"/>
    <xf numFmtId="164" fontId="0" fillId="2" borderId="0" xfId="0" applyNumberFormat="1" applyFill="1"/>
    <xf numFmtId="164" fontId="0" fillId="0" borderId="0" xfId="0" applyNumberFormat="1" applyFill="1"/>
    <xf numFmtId="167" fontId="2" fillId="0" borderId="2" xfId="0" applyNumberFormat="1" applyFont="1" applyFill="1" applyBorder="1"/>
    <xf numFmtId="164" fontId="2" fillId="0" borderId="0" xfId="0" applyNumberFormat="1" applyFont="1" applyFill="1"/>
    <xf numFmtId="164" fontId="2" fillId="0" borderId="2" xfId="0" applyNumberFormat="1" applyFont="1" applyFill="1" applyBorder="1"/>
    <xf numFmtId="166" fontId="0" fillId="0" borderId="0" xfId="1" applyNumberFormat="1" applyFont="1" applyFill="1"/>
    <xf numFmtId="0" fontId="2" fillId="0" borderId="1" xfId="0" applyFont="1" applyFill="1" applyBorder="1"/>
    <xf numFmtId="0" fontId="0" fillId="0" borderId="0" xfId="0" applyFill="1"/>
    <xf numFmtId="0" fontId="0" fillId="0" borderId="0" xfId="0" applyFill="1" applyBorder="1"/>
    <xf numFmtId="164" fontId="0" fillId="0" borderId="0" xfId="1" applyNumberFormat="1" applyFont="1" applyFill="1"/>
    <xf numFmtId="164" fontId="4" fillId="0" borderId="0" xfId="0" applyNumberFormat="1" applyFont="1" applyFill="1"/>
    <xf numFmtId="164" fontId="3" fillId="0" borderId="0" xfId="0" applyNumberFormat="1" applyFont="1" applyFill="1"/>
    <xf numFmtId="167" fontId="2" fillId="0" borderId="1" xfId="0" applyNumberFormat="1" applyFont="1" applyFill="1" applyBorder="1"/>
    <xf numFmtId="167" fontId="0" fillId="0" borderId="0" xfId="0" applyNumberFormat="1" applyFill="1"/>
    <xf numFmtId="0" fontId="2" fillId="0" borderId="0" xfId="0" applyFont="1" applyFill="1"/>
    <xf numFmtId="165" fontId="0" fillId="0" borderId="0" xfId="0" applyNumberFormat="1" applyFill="1"/>
    <xf numFmtId="168" fontId="0" fillId="0" borderId="0" xfId="0" applyNumberFormat="1" applyFill="1"/>
    <xf numFmtId="3" fontId="0" fillId="0" borderId="0" xfId="0" applyNumberFormat="1" applyFill="1"/>
    <xf numFmtId="0" fontId="0" fillId="0" borderId="0" xfId="0" applyFont="1" applyFill="1"/>
    <xf numFmtId="0" fontId="3" fillId="0" borderId="0" xfId="0" applyFont="1" applyFill="1"/>
    <xf numFmtId="43" fontId="0" fillId="0" borderId="0" xfId="2" applyFont="1"/>
    <xf numFmtId="167" fontId="2" fillId="0" borderId="2" xfId="0" applyNumberFormat="1" applyFont="1" applyFill="1" applyBorder="1" applyAlignment="1">
      <alignment horizontal="center"/>
    </xf>
    <xf numFmtId="164" fontId="0" fillId="0" borderId="0" xfId="0" applyNumberFormat="1" applyFont="1" applyFill="1"/>
    <xf numFmtId="169" fontId="0" fillId="0" borderId="0" xfId="0" applyNumberFormat="1" applyFill="1"/>
    <xf numFmtId="164" fontId="0" fillId="0" borderId="0" xfId="0" applyNumberFormat="1" applyFill="1" applyAlignment="1">
      <alignment horizontal="center"/>
    </xf>
    <xf numFmtId="165" fontId="4" fillId="0" borderId="0" xfId="0" applyNumberFormat="1" applyFont="1" applyFill="1"/>
    <xf numFmtId="4" fontId="0" fillId="0" borderId="0" xfId="0" applyNumberFormat="1" applyFill="1"/>
    <xf numFmtId="166" fontId="0" fillId="0" borderId="0" xfId="0" applyNumberFormat="1" applyFill="1"/>
    <xf numFmtId="10" fontId="0" fillId="0" borderId="0" xfId="0" applyNumberFormat="1" applyFill="1"/>
    <xf numFmtId="170" fontId="0" fillId="0" borderId="0" xfId="0" applyNumberFormat="1" applyFill="1" applyAlignment="1">
      <alignment horizontal="center"/>
    </xf>
    <xf numFmtId="168" fontId="8" fillId="0" borderId="0" xfId="0" applyNumberFormat="1" applyFont="1" applyFill="1"/>
    <xf numFmtId="0" fontId="2" fillId="0" borderId="2" xfId="0" applyFont="1" applyFill="1" applyBorder="1"/>
    <xf numFmtId="0" fontId="0" fillId="0" borderId="0" xfId="0" applyAlignment="1">
      <alignment horizontal="center"/>
    </xf>
    <xf numFmtId="165" fontId="2" fillId="0" borderId="2" xfId="0" applyNumberFormat="1" applyFont="1" applyFill="1" applyBorder="1"/>
    <xf numFmtId="171" fontId="0" fillId="0" borderId="0" xfId="0" applyNumberFormat="1"/>
    <xf numFmtId="166" fontId="0" fillId="0" borderId="0" xfId="1" applyNumberFormat="1" applyFont="1"/>
    <xf numFmtId="0" fontId="0" fillId="0" borderId="0" xfId="0" applyFont="1"/>
    <xf numFmtId="0" fontId="7" fillId="0" borderId="0" xfId="0" applyFont="1"/>
    <xf numFmtId="0" fontId="0" fillId="2" borderId="0" xfId="0" applyFont="1" applyFill="1"/>
    <xf numFmtId="164" fontId="0" fillId="2" borderId="0" xfId="0" applyNumberFormat="1" applyFont="1" applyFill="1"/>
    <xf numFmtId="166" fontId="0" fillId="2" borderId="0" xfId="1" applyNumberFormat="1" applyFont="1" applyFill="1"/>
    <xf numFmtId="169" fontId="0" fillId="2" borderId="0" xfId="0" applyNumberFormat="1" applyFill="1"/>
    <xf numFmtId="0" fontId="7" fillId="2" borderId="0" xfId="0" applyFont="1" applyFill="1"/>
    <xf numFmtId="164" fontId="7" fillId="2" borderId="0" xfId="0" applyNumberFormat="1" applyFont="1" applyFill="1"/>
    <xf numFmtId="165" fontId="0" fillId="2" borderId="0" xfId="0" applyNumberFormat="1" applyFill="1"/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0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171" fontId="0" fillId="0" borderId="0" xfId="0" applyNumberFormat="1" applyFill="1"/>
    <xf numFmtId="2" fontId="0" fillId="0" borderId="0" xfId="0" applyNumberFormat="1" applyFill="1"/>
    <xf numFmtId="168" fontId="3" fillId="0" borderId="0" xfId="0" applyNumberFormat="1" applyFont="1" applyFill="1"/>
    <xf numFmtId="9" fontId="0" fillId="0" borderId="0" xfId="0" applyNumberFormat="1" applyFill="1"/>
    <xf numFmtId="1" fontId="2" fillId="0" borderId="11" xfId="0" applyNumberFormat="1" applyFont="1" applyFill="1" applyBorder="1" applyAlignment="1">
      <alignment horizontal="center"/>
    </xf>
    <xf numFmtId="1" fontId="2" fillId="0" borderId="12" xfId="0" applyNumberFormat="1" applyFont="1" applyFill="1" applyBorder="1" applyAlignment="1">
      <alignment horizontal="center"/>
    </xf>
    <xf numFmtId="168" fontId="2" fillId="0" borderId="13" xfId="0" applyNumberFormat="1" applyFont="1" applyFill="1" applyBorder="1" applyAlignment="1">
      <alignment horizontal="center"/>
    </xf>
    <xf numFmtId="10" fontId="0" fillId="2" borderId="0" xfId="0" applyNumberFormat="1" applyFill="1"/>
    <xf numFmtId="10" fontId="0" fillId="2" borderId="0" xfId="1" applyNumberFormat="1" applyFont="1" applyFill="1"/>
    <xf numFmtId="0" fontId="11" fillId="0" borderId="14" xfId="0" applyFont="1" applyBorder="1"/>
    <xf numFmtId="0" fontId="11" fillId="0" borderId="14" xfId="0" applyFont="1" applyBorder="1" applyAlignment="1">
      <alignment horizontal="center"/>
    </xf>
    <xf numFmtId="0" fontId="11" fillId="0" borderId="0" xfId="0" applyFont="1"/>
    <xf numFmtId="0" fontId="11" fillId="0" borderId="15" xfId="0" applyFont="1" applyBorder="1"/>
    <xf numFmtId="1" fontId="11" fillId="0" borderId="15" xfId="0" applyNumberFormat="1" applyFont="1" applyBorder="1" applyAlignment="1">
      <alignment horizontal="center"/>
    </xf>
    <xf numFmtId="14" fontId="11" fillId="0" borderId="15" xfId="0" applyNumberFormat="1" applyFont="1" applyBorder="1" applyAlignment="1">
      <alignment horizontal="center"/>
    </xf>
    <xf numFmtId="0" fontId="11" fillId="0" borderId="15" xfId="0" applyFont="1" applyBorder="1" applyAlignment="1">
      <alignment horizontal="center"/>
    </xf>
    <xf numFmtId="0" fontId="11" fillId="0" borderId="0" xfId="0" applyFont="1" applyAlignment="1">
      <alignment horizontal="center"/>
    </xf>
    <xf numFmtId="171" fontId="11" fillId="0" borderId="0" xfId="0" applyNumberFormat="1" applyFont="1"/>
    <xf numFmtId="10" fontId="11" fillId="0" borderId="0" xfId="0" applyNumberFormat="1" applyFont="1" applyAlignment="1">
      <alignment horizontal="center"/>
    </xf>
    <xf numFmtId="10" fontId="11" fillId="0" borderId="0" xfId="1" applyNumberFormat="1" applyFont="1"/>
    <xf numFmtId="2" fontId="11" fillId="0" borderId="0" xfId="0" applyNumberFormat="1" applyFont="1"/>
    <xf numFmtId="0" fontId="12" fillId="0" borderId="0" xfId="0" applyFont="1"/>
    <xf numFmtId="168" fontId="11" fillId="0" borderId="0" xfId="0" applyNumberFormat="1" applyFont="1"/>
    <xf numFmtId="168" fontId="12" fillId="0" borderId="0" xfId="0" applyNumberFormat="1" applyFont="1"/>
    <xf numFmtId="0" fontId="11" fillId="0" borderId="9" xfId="0" applyFont="1" applyBorder="1"/>
    <xf numFmtId="0" fontId="11" fillId="0" borderId="9" xfId="0" applyFont="1" applyBorder="1" applyAlignment="1">
      <alignment horizontal="center"/>
    </xf>
    <xf numFmtId="0" fontId="11" fillId="0" borderId="16" xfId="0" applyFont="1" applyBorder="1"/>
    <xf numFmtId="168" fontId="11" fillId="0" borderId="9" xfId="0" applyNumberFormat="1" applyFont="1" applyBorder="1"/>
    <xf numFmtId="168" fontId="11" fillId="0" borderId="16" xfId="0" applyNumberFormat="1" applyFont="1" applyBorder="1"/>
    <xf numFmtId="0" fontId="12" fillId="0" borderId="17" xfId="0" applyFont="1" applyBorder="1"/>
    <xf numFmtId="168" fontId="12" fillId="0" borderId="17" xfId="0" applyNumberFormat="1" applyFont="1" applyBorder="1"/>
    <xf numFmtId="0" fontId="12" fillId="0" borderId="2" xfId="0" applyFont="1" applyBorder="1"/>
    <xf numFmtId="168" fontId="12" fillId="0" borderId="2" xfId="0" applyNumberFormat="1" applyFont="1" applyBorder="1"/>
    <xf numFmtId="0" fontId="11" fillId="0" borderId="0" xfId="0" applyFont="1" applyBorder="1" applyAlignment="1">
      <alignment horizontal="center"/>
    </xf>
    <xf numFmtId="0" fontId="11" fillId="0" borderId="0" xfId="0" applyFont="1" applyBorder="1"/>
    <xf numFmtId="0" fontId="11" fillId="0" borderId="0" xfId="0" applyFont="1" applyAlignment="1">
      <alignment horizontal="center"/>
    </xf>
    <xf numFmtId="0" fontId="12" fillId="0" borderId="18" xfId="0" applyFont="1" applyBorder="1"/>
    <xf numFmtId="168" fontId="12" fillId="0" borderId="18" xfId="0" applyNumberFormat="1" applyFont="1" applyBorder="1"/>
    <xf numFmtId="0" fontId="13" fillId="0" borderId="0" xfId="0" applyFont="1"/>
    <xf numFmtId="168" fontId="13" fillId="0" borderId="0" xfId="0" applyNumberFormat="1" applyFont="1"/>
    <xf numFmtId="0" fontId="13" fillId="0" borderId="0" xfId="0" applyFont="1" applyAlignment="1">
      <alignment horizontal="center"/>
    </xf>
    <xf numFmtId="0" fontId="3" fillId="0" borderId="0" xfId="0" applyFont="1"/>
    <xf numFmtId="0" fontId="12" fillId="0" borderId="19" xfId="0" applyFont="1" applyBorder="1"/>
    <xf numFmtId="170" fontId="12" fillId="0" borderId="20" xfId="0" applyNumberFormat="1" applyFont="1" applyBorder="1"/>
    <xf numFmtId="0" fontId="12" fillId="0" borderId="21" xfId="0" applyFont="1" applyBorder="1"/>
    <xf numFmtId="170" fontId="12" fillId="0" borderId="22" xfId="0" applyNumberFormat="1" applyFont="1" applyBorder="1"/>
    <xf numFmtId="167" fontId="0" fillId="0" borderId="0" xfId="0" applyNumberFormat="1" applyAlignment="1">
      <alignment horizontal="center"/>
    </xf>
    <xf numFmtId="164" fontId="2" fillId="2" borderId="0" xfId="0" applyNumberFormat="1" applyFont="1" applyFill="1"/>
    <xf numFmtId="164" fontId="2" fillId="2" borderId="2" xfId="0" applyNumberFormat="1" applyFont="1" applyFill="1" applyBorder="1"/>
    <xf numFmtId="167" fontId="2" fillId="2" borderId="2" xfId="0" applyNumberFormat="1" applyFont="1" applyFill="1" applyBorder="1" applyAlignment="1">
      <alignment horizontal="center"/>
    </xf>
    <xf numFmtId="164" fontId="0" fillId="2" borderId="0" xfId="1" applyNumberFormat="1" applyFont="1" applyFill="1"/>
    <xf numFmtId="165" fontId="4" fillId="2" borderId="0" xfId="0" applyNumberFormat="1" applyFont="1" applyFill="1"/>
    <xf numFmtId="164" fontId="3" fillId="2" borderId="0" xfId="0" applyNumberFormat="1" applyFont="1" applyFill="1"/>
    <xf numFmtId="165" fontId="0" fillId="0" borderId="0" xfId="1" applyNumberFormat="1" applyFont="1" applyFill="1"/>
    <xf numFmtId="165" fontId="2" fillId="0" borderId="2" xfId="0" applyNumberFormat="1" applyFont="1" applyFill="1" applyBorder="1" applyAlignment="1">
      <alignment horizontal="center"/>
    </xf>
    <xf numFmtId="165" fontId="2" fillId="0" borderId="0" xfId="0" applyNumberFormat="1" applyFont="1" applyFill="1"/>
    <xf numFmtId="165" fontId="0" fillId="0" borderId="0" xfId="0" applyNumberFormat="1" applyFont="1" applyFill="1"/>
    <xf numFmtId="165" fontId="3" fillId="0" borderId="0" xfId="0" applyNumberFormat="1" applyFont="1" applyFill="1"/>
    <xf numFmtId="0" fontId="0" fillId="0" borderId="0" xfId="0" applyFill="1" applyAlignment="1">
      <alignment horizontal="center"/>
    </xf>
    <xf numFmtId="165" fontId="0" fillId="0" borderId="0" xfId="0" applyNumberFormat="1" applyFill="1" applyAlignment="1">
      <alignment horizontal="center"/>
    </xf>
    <xf numFmtId="14" fontId="2" fillId="0" borderId="2" xfId="0" applyNumberFormat="1" applyFont="1" applyFill="1" applyBorder="1"/>
    <xf numFmtId="166" fontId="2" fillId="0" borderId="0" xfId="1" applyNumberFormat="1" applyFont="1" applyFill="1"/>
    <xf numFmtId="165" fontId="2" fillId="0" borderId="0" xfId="1" applyNumberFormat="1" applyFont="1" applyFill="1"/>
    <xf numFmtId="166" fontId="4" fillId="0" borderId="0" xfId="1" applyNumberFormat="1" applyFont="1" applyFill="1"/>
    <xf numFmtId="171" fontId="3" fillId="0" borderId="0" xfId="0" applyNumberFormat="1" applyFont="1" applyFill="1"/>
    <xf numFmtId="171" fontId="2" fillId="0" borderId="0" xfId="0" applyNumberFormat="1" applyFont="1" applyFill="1"/>
    <xf numFmtId="0" fontId="0" fillId="0" borderId="0" xfId="0" applyFill="1" applyAlignment="1">
      <alignment horizontal="center" vertical="top"/>
    </xf>
    <xf numFmtId="0" fontId="2" fillId="0" borderId="23" xfId="0" applyFont="1" applyFill="1" applyBorder="1"/>
    <xf numFmtId="164" fontId="2" fillId="0" borderId="23" xfId="0" applyNumberFormat="1" applyFont="1" applyFill="1" applyBorder="1"/>
    <xf numFmtId="165" fontId="2" fillId="0" borderId="23" xfId="0" applyNumberFormat="1" applyFont="1" applyFill="1" applyBorder="1"/>
    <xf numFmtId="0" fontId="14" fillId="0" borderId="24" xfId="0" applyFont="1" applyFill="1" applyBorder="1"/>
    <xf numFmtId="164" fontId="14" fillId="0" borderId="24" xfId="0" applyNumberFormat="1" applyFont="1" applyFill="1" applyBorder="1"/>
    <xf numFmtId="165" fontId="14" fillId="0" borderId="24" xfId="0" applyNumberFormat="1" applyFont="1" applyFill="1" applyBorder="1"/>
    <xf numFmtId="172" fontId="11" fillId="0" borderId="0" xfId="0" applyNumberFormat="1" applyFont="1"/>
    <xf numFmtId="0" fontId="11" fillId="0" borderId="0" xfId="0" applyFont="1" applyAlignment="1">
      <alignment horizontal="center"/>
    </xf>
    <xf numFmtId="166" fontId="11" fillId="0" borderId="0" xfId="0" applyNumberFormat="1" applyFont="1"/>
    <xf numFmtId="0" fontId="11" fillId="0" borderId="0" xfId="0" applyFont="1" applyFill="1"/>
    <xf numFmtId="0" fontId="11" fillId="0" borderId="0" xfId="0" applyFont="1" applyAlignment="1">
      <alignment horizontal="center"/>
    </xf>
    <xf numFmtId="0" fontId="12" fillId="0" borderId="0" xfId="0" applyFont="1" applyFill="1"/>
    <xf numFmtId="168" fontId="12" fillId="0" borderId="0" xfId="0" applyNumberFormat="1" applyFont="1" applyFill="1"/>
    <xf numFmtId="10" fontId="12" fillId="0" borderId="0" xfId="0" applyNumberFormat="1" applyFont="1" applyFill="1" applyAlignment="1">
      <alignment horizontal="center"/>
    </xf>
    <xf numFmtId="0" fontId="16" fillId="0" borderId="25" xfId="3" applyFont="1" applyBorder="1" applyAlignment="1">
      <alignment horizontal="center" vertical="center"/>
    </xf>
    <xf numFmtId="0" fontId="16" fillId="0" borderId="26" xfId="3" applyFont="1" applyBorder="1" applyAlignment="1">
      <alignment horizontal="center" vertical="center"/>
    </xf>
    <xf numFmtId="0" fontId="16" fillId="0" borderId="27" xfId="3" applyFont="1" applyBorder="1" applyAlignment="1">
      <alignment horizontal="center" vertical="center"/>
    </xf>
    <xf numFmtId="0" fontId="16" fillId="0" borderId="26" xfId="3" applyFont="1" applyFill="1" applyBorder="1" applyAlignment="1">
      <alignment horizontal="center" vertical="center"/>
    </xf>
    <xf numFmtId="0" fontId="16" fillId="0" borderId="28" xfId="3" applyFont="1" applyFill="1" applyBorder="1" applyAlignment="1">
      <alignment horizontal="center" vertical="center"/>
    </xf>
    <xf numFmtId="0" fontId="16" fillId="0" borderId="0" xfId="3" applyFont="1" applyAlignment="1">
      <alignment horizontal="center" vertical="center"/>
    </xf>
    <xf numFmtId="0" fontId="15" fillId="0" borderId="29" xfId="3" applyBorder="1" applyAlignment="1">
      <alignment vertical="center"/>
    </xf>
    <xf numFmtId="0" fontId="15" fillId="0" borderId="30" xfId="3" applyBorder="1" applyAlignment="1">
      <alignment vertical="center"/>
    </xf>
    <xf numFmtId="0" fontId="15" fillId="5" borderId="31" xfId="3" applyFill="1" applyBorder="1" applyAlignment="1">
      <alignment vertical="center"/>
    </xf>
    <xf numFmtId="173" fontId="15" fillId="5" borderId="31" xfId="3" applyNumberFormat="1" applyFill="1" applyBorder="1" applyAlignment="1">
      <alignment vertical="center"/>
    </xf>
    <xf numFmtId="173" fontId="15" fillId="0" borderId="31" xfId="3" applyNumberFormat="1" applyFill="1" applyBorder="1" applyAlignment="1">
      <alignment vertical="center"/>
    </xf>
    <xf numFmtId="173" fontId="15" fillId="0" borderId="32" xfId="3" applyNumberFormat="1" applyFill="1" applyBorder="1" applyAlignment="1">
      <alignment vertical="center"/>
    </xf>
    <xf numFmtId="0" fontId="15" fillId="0" borderId="0" xfId="3" applyFont="1" applyAlignment="1">
      <alignment vertical="center"/>
    </xf>
    <xf numFmtId="0" fontId="15" fillId="5" borderId="29" xfId="3" applyFill="1" applyBorder="1" applyAlignment="1">
      <alignment vertical="center"/>
    </xf>
    <xf numFmtId="0" fontId="15" fillId="5" borderId="33" xfId="3" applyFill="1" applyBorder="1" applyAlignment="1">
      <alignment vertical="center"/>
    </xf>
    <xf numFmtId="0" fontId="15" fillId="0" borderId="33" xfId="3" applyFill="1" applyBorder="1" applyAlignment="1">
      <alignment vertical="center"/>
    </xf>
    <xf numFmtId="0" fontId="15" fillId="0" borderId="34" xfId="3" applyFill="1" applyBorder="1" applyAlignment="1">
      <alignment vertical="center"/>
    </xf>
    <xf numFmtId="0" fontId="15" fillId="5" borderId="30" xfId="3" applyFill="1" applyBorder="1" applyAlignment="1">
      <alignment vertical="center"/>
    </xf>
    <xf numFmtId="0" fontId="15" fillId="0" borderId="30" xfId="3" applyFill="1" applyBorder="1" applyAlignment="1">
      <alignment vertical="center"/>
    </xf>
    <xf numFmtId="0" fontId="15" fillId="0" borderId="35" xfId="3" applyFill="1" applyBorder="1" applyAlignment="1">
      <alignment vertical="center"/>
    </xf>
    <xf numFmtId="9" fontId="15" fillId="5" borderId="30" xfId="3" applyNumberFormat="1" applyFill="1" applyBorder="1" applyAlignment="1">
      <alignment vertical="center"/>
    </xf>
    <xf numFmtId="166" fontId="15" fillId="5" borderId="30" xfId="3" applyNumberFormat="1" applyFill="1" applyBorder="1" applyAlignment="1">
      <alignment vertical="center"/>
    </xf>
    <xf numFmtId="166" fontId="15" fillId="0" borderId="30" xfId="3" applyNumberFormat="1" applyFill="1" applyBorder="1" applyAlignment="1">
      <alignment vertical="center"/>
    </xf>
    <xf numFmtId="166" fontId="15" fillId="0" borderId="35" xfId="3" applyNumberFormat="1" applyFill="1" applyBorder="1" applyAlignment="1">
      <alignment vertical="center"/>
    </xf>
    <xf numFmtId="1" fontId="15" fillId="5" borderId="30" xfId="3" applyNumberFormat="1" applyFill="1" applyBorder="1" applyAlignment="1">
      <alignment vertical="center"/>
    </xf>
    <xf numFmtId="1" fontId="15" fillId="0" borderId="30" xfId="3" applyNumberFormat="1" applyFill="1" applyBorder="1" applyAlignment="1">
      <alignment vertical="center"/>
    </xf>
    <xf numFmtId="1" fontId="15" fillId="0" borderId="35" xfId="3" applyNumberFormat="1" applyFill="1" applyBorder="1" applyAlignment="1">
      <alignment vertical="center"/>
    </xf>
    <xf numFmtId="10" fontId="15" fillId="5" borderId="30" xfId="4" applyNumberFormat="1" applyFill="1" applyBorder="1" applyAlignment="1">
      <alignment vertical="center"/>
    </xf>
    <xf numFmtId="10" fontId="15" fillId="0" borderId="30" xfId="4" applyNumberFormat="1" applyFill="1" applyBorder="1" applyAlignment="1">
      <alignment vertical="center"/>
    </xf>
    <xf numFmtId="10" fontId="15" fillId="0" borderId="35" xfId="4" applyNumberFormat="1" applyFill="1" applyBorder="1" applyAlignment="1">
      <alignment vertical="center"/>
    </xf>
    <xf numFmtId="1" fontId="15" fillId="5" borderId="30" xfId="4" applyNumberFormat="1" applyFill="1" applyBorder="1" applyAlignment="1">
      <alignment vertical="center"/>
    </xf>
    <xf numFmtId="1" fontId="15" fillId="0" borderId="30" xfId="4" applyNumberFormat="1" applyFill="1" applyBorder="1" applyAlignment="1">
      <alignment vertical="center"/>
    </xf>
    <xf numFmtId="1" fontId="15" fillId="0" borderId="35" xfId="4" applyNumberFormat="1" applyFill="1" applyBorder="1" applyAlignment="1">
      <alignment vertical="center"/>
    </xf>
    <xf numFmtId="0" fontId="15" fillId="0" borderId="6" xfId="3" applyFill="1" applyBorder="1" applyAlignment="1">
      <alignment vertical="center"/>
    </xf>
    <xf numFmtId="0" fontId="15" fillId="0" borderId="31" xfId="3" applyFill="1" applyBorder="1" applyAlignment="1">
      <alignment vertical="center"/>
    </xf>
    <xf numFmtId="0" fontId="15" fillId="0" borderId="7" xfId="3" applyFill="1" applyBorder="1" applyAlignment="1">
      <alignment vertical="center"/>
    </xf>
    <xf numFmtId="0" fontId="17" fillId="6" borderId="30" xfId="3" applyFont="1" applyFill="1" applyBorder="1" applyAlignment="1">
      <alignment horizontal="right" vertical="center"/>
    </xf>
    <xf numFmtId="3" fontId="17" fillId="6" borderId="30" xfId="3" applyNumberFormat="1" applyFont="1" applyFill="1" applyBorder="1" applyAlignment="1">
      <alignment vertical="center"/>
    </xf>
    <xf numFmtId="0" fontId="17" fillId="6" borderId="30" xfId="3" applyFont="1" applyFill="1" applyBorder="1" applyAlignment="1">
      <alignment vertical="center"/>
    </xf>
    <xf numFmtId="0" fontId="15" fillId="0" borderId="6" xfId="3" applyBorder="1" applyAlignment="1">
      <alignment vertical="center"/>
    </xf>
    <xf numFmtId="0" fontId="16" fillId="0" borderId="0" xfId="3" applyFont="1" applyFill="1" applyBorder="1" applyAlignment="1">
      <alignment vertical="center"/>
    </xf>
    <xf numFmtId="0" fontId="15" fillId="0" borderId="0" xfId="3" applyFill="1" applyBorder="1" applyAlignment="1">
      <alignment vertical="center"/>
    </xf>
    <xf numFmtId="0" fontId="18" fillId="6" borderId="30" xfId="3" applyFont="1" applyFill="1" applyBorder="1" applyAlignment="1">
      <alignment vertical="center"/>
    </xf>
    <xf numFmtId="0" fontId="15" fillId="0" borderId="0" xfId="3" applyAlignment="1">
      <alignment vertical="center"/>
    </xf>
    <xf numFmtId="0" fontId="19" fillId="7" borderId="29" xfId="3" applyFont="1" applyFill="1" applyBorder="1" applyAlignment="1">
      <alignment vertical="center"/>
    </xf>
    <xf numFmtId="2" fontId="15" fillId="0" borderId="0" xfId="3" applyNumberFormat="1" applyFill="1" applyBorder="1" applyAlignment="1">
      <alignment vertical="center"/>
    </xf>
    <xf numFmtId="2" fontId="15" fillId="0" borderId="30" xfId="3" applyNumberFormat="1" applyFill="1" applyBorder="1" applyAlignment="1">
      <alignment vertical="center"/>
    </xf>
    <xf numFmtId="0" fontId="16" fillId="6" borderId="36" xfId="3" applyFont="1" applyFill="1" applyBorder="1" applyAlignment="1">
      <alignment vertical="center"/>
    </xf>
    <xf numFmtId="0" fontId="15" fillId="6" borderId="30" xfId="3" applyFill="1" applyBorder="1" applyAlignment="1">
      <alignment vertical="center"/>
    </xf>
    <xf numFmtId="1" fontId="15" fillId="0" borderId="0" xfId="3" applyNumberFormat="1" applyFill="1" applyBorder="1" applyAlignment="1">
      <alignment vertical="center"/>
    </xf>
    <xf numFmtId="10" fontId="15" fillId="6" borderId="30" xfId="3" applyNumberFormat="1" applyFill="1" applyBorder="1" applyAlignment="1">
      <alignment vertical="center"/>
    </xf>
    <xf numFmtId="10" fontId="15" fillId="5" borderId="30" xfId="3" applyNumberFormat="1" applyFill="1" applyBorder="1" applyAlignment="1">
      <alignment vertical="center"/>
    </xf>
    <xf numFmtId="0" fontId="15" fillId="0" borderId="0" xfId="3" applyFill="1" applyBorder="1" applyAlignment="1">
      <alignment vertical="center" wrapText="1"/>
    </xf>
    <xf numFmtId="9" fontId="15" fillId="0" borderId="0" xfId="3" applyNumberFormat="1" applyFill="1" applyBorder="1" applyAlignment="1">
      <alignment vertical="center"/>
    </xf>
    <xf numFmtId="0" fontId="15" fillId="0" borderId="29" xfId="3" applyFill="1" applyBorder="1" applyAlignment="1">
      <alignment vertical="center"/>
    </xf>
    <xf numFmtId="10" fontId="15" fillId="8" borderId="30" xfId="3" applyNumberFormat="1" applyFont="1" applyFill="1" applyBorder="1" applyAlignment="1">
      <alignment vertical="center"/>
    </xf>
    <xf numFmtId="10" fontId="15" fillId="0" borderId="30" xfId="3" applyNumberFormat="1" applyFill="1" applyBorder="1" applyAlignment="1">
      <alignment vertical="center"/>
    </xf>
    <xf numFmtId="0" fontId="15" fillId="0" borderId="0" xfId="3" applyFont="1" applyFill="1" applyAlignment="1">
      <alignment vertical="center"/>
    </xf>
    <xf numFmtId="0" fontId="15" fillId="0" borderId="0" xfId="3" applyFill="1" applyAlignment="1">
      <alignment vertical="center"/>
    </xf>
    <xf numFmtId="2" fontId="15" fillId="0" borderId="6" xfId="3" applyNumberFormat="1" applyFill="1" applyBorder="1" applyAlignment="1">
      <alignment vertical="center"/>
    </xf>
    <xf numFmtId="2" fontId="15" fillId="0" borderId="7" xfId="3" applyNumberFormat="1" applyFill="1" applyBorder="1" applyAlignment="1">
      <alignment vertical="center"/>
    </xf>
    <xf numFmtId="2" fontId="15" fillId="0" borderId="35" xfId="3" applyNumberFormat="1" applyFill="1" applyBorder="1" applyAlignment="1">
      <alignment vertical="center"/>
    </xf>
    <xf numFmtId="1" fontId="15" fillId="0" borderId="30" xfId="3" applyNumberFormat="1" applyBorder="1" applyAlignment="1">
      <alignment vertical="center"/>
    </xf>
    <xf numFmtId="2" fontId="15" fillId="0" borderId="30" xfId="3" applyNumberFormat="1" applyBorder="1" applyAlignment="1">
      <alignment vertical="center"/>
    </xf>
    <xf numFmtId="0" fontId="15" fillId="5" borderId="30" xfId="3" applyFont="1" applyFill="1" applyBorder="1" applyAlignment="1">
      <alignment vertical="center"/>
    </xf>
    <xf numFmtId="9" fontId="15" fillId="5" borderId="30" xfId="3" applyNumberFormat="1" applyFont="1" applyFill="1" applyBorder="1" applyAlignment="1">
      <alignment vertical="center"/>
    </xf>
    <xf numFmtId="2" fontId="15" fillId="0" borderId="6" xfId="3" applyNumberFormat="1" applyBorder="1" applyAlignment="1">
      <alignment vertical="center"/>
    </xf>
    <xf numFmtId="2" fontId="15" fillId="0" borderId="7" xfId="3" applyNumberFormat="1" applyBorder="1" applyAlignment="1">
      <alignment vertical="center"/>
    </xf>
    <xf numFmtId="171" fontId="15" fillId="5" borderId="30" xfId="3" applyNumberFormat="1" applyFont="1" applyFill="1" applyBorder="1" applyAlignment="1">
      <alignment vertical="center"/>
    </xf>
    <xf numFmtId="0" fontId="19" fillId="0" borderId="30" xfId="3" applyFont="1" applyFill="1" applyBorder="1" applyAlignment="1">
      <alignment vertical="center"/>
    </xf>
    <xf numFmtId="2" fontId="19" fillId="0" borderId="30" xfId="3" applyNumberFormat="1" applyFont="1" applyBorder="1" applyAlignment="1">
      <alignment vertical="center"/>
    </xf>
    <xf numFmtId="2" fontId="19" fillId="0" borderId="30" xfId="3" applyNumberFormat="1" applyFont="1" applyFill="1" applyBorder="1" applyAlignment="1">
      <alignment vertical="center"/>
    </xf>
    <xf numFmtId="2" fontId="19" fillId="0" borderId="6" xfId="3" applyNumberFormat="1" applyFont="1" applyFill="1" applyBorder="1" applyAlignment="1">
      <alignment vertical="center"/>
    </xf>
    <xf numFmtId="2" fontId="19" fillId="0" borderId="7" xfId="3" applyNumberFormat="1" applyFont="1" applyFill="1" applyBorder="1" applyAlignment="1">
      <alignment vertical="center"/>
    </xf>
    <xf numFmtId="2" fontId="19" fillId="0" borderId="35" xfId="3" applyNumberFormat="1" applyFont="1" applyFill="1" applyBorder="1" applyAlignment="1">
      <alignment vertical="center"/>
    </xf>
    <xf numFmtId="0" fontId="19" fillId="0" borderId="0" xfId="3" applyFont="1" applyAlignment="1">
      <alignment vertical="center"/>
    </xf>
    <xf numFmtId="0" fontId="16" fillId="9" borderId="30" xfId="3" applyFont="1" applyFill="1" applyBorder="1" applyAlignment="1">
      <alignment vertical="center"/>
    </xf>
    <xf numFmtId="2" fontId="15" fillId="0" borderId="33" xfId="3" applyNumberFormat="1" applyFill="1" applyBorder="1" applyAlignment="1">
      <alignment vertical="center"/>
    </xf>
    <xf numFmtId="0" fontId="15" fillId="0" borderId="31" xfId="3" applyBorder="1" applyAlignment="1">
      <alignment vertical="center"/>
    </xf>
    <xf numFmtId="0" fontId="15" fillId="0" borderId="32" xfId="3" applyFill="1" applyBorder="1" applyAlignment="1">
      <alignment vertical="center"/>
    </xf>
    <xf numFmtId="3" fontId="20" fillId="0" borderId="30" xfId="3" applyNumberFormat="1" applyFont="1" applyBorder="1" applyAlignment="1">
      <alignment vertical="center"/>
    </xf>
    <xf numFmtId="3" fontId="15" fillId="0" borderId="30" xfId="3" applyNumberFormat="1" applyBorder="1" applyAlignment="1">
      <alignment vertical="center"/>
    </xf>
    <xf numFmtId="3" fontId="15" fillId="0" borderId="30" xfId="3" applyNumberFormat="1" applyFill="1" applyBorder="1" applyAlignment="1">
      <alignment vertical="center"/>
    </xf>
    <xf numFmtId="3" fontId="15" fillId="0" borderId="7" xfId="3" applyNumberFormat="1" applyFont="1" applyBorder="1" applyAlignment="1">
      <alignment vertical="center"/>
    </xf>
    <xf numFmtId="169" fontId="15" fillId="0" borderId="30" xfId="3" applyNumberFormat="1" applyFill="1" applyBorder="1" applyAlignment="1">
      <alignment vertical="center"/>
    </xf>
    <xf numFmtId="3" fontId="15" fillId="0" borderId="0" xfId="3" applyNumberFormat="1" applyFont="1" applyBorder="1" applyAlignment="1">
      <alignment vertical="center"/>
    </xf>
    <xf numFmtId="0" fontId="20" fillId="0" borderId="30" xfId="3" applyFont="1" applyBorder="1" applyAlignment="1">
      <alignment vertical="center"/>
    </xf>
    <xf numFmtId="4" fontId="15" fillId="0" borderId="30" xfId="3" applyNumberFormat="1" applyFill="1" applyBorder="1" applyAlignment="1">
      <alignment vertical="center" wrapText="1"/>
    </xf>
    <xf numFmtId="0" fontId="21" fillId="0" borderId="30" xfId="3" applyFont="1" applyBorder="1" applyAlignment="1">
      <alignment vertical="center"/>
    </xf>
    <xf numFmtId="3" fontId="21" fillId="0" borderId="30" xfId="3" applyNumberFormat="1" applyFont="1" applyBorder="1" applyAlignment="1">
      <alignment vertical="center"/>
    </xf>
    <xf numFmtId="0" fontId="15" fillId="0" borderId="33" xfId="3" applyBorder="1" applyAlignment="1">
      <alignment vertical="center"/>
    </xf>
    <xf numFmtId="3" fontId="15" fillId="0" borderId="33" xfId="3" applyNumberFormat="1" applyBorder="1" applyAlignment="1">
      <alignment vertical="center"/>
    </xf>
    <xf numFmtId="3" fontId="15" fillId="0" borderId="33" xfId="3" applyNumberFormat="1" applyFill="1" applyBorder="1" applyAlignment="1">
      <alignment vertical="center"/>
    </xf>
    <xf numFmtId="0" fontId="22" fillId="0" borderId="31" xfId="3" applyFont="1" applyBorder="1" applyAlignment="1">
      <alignment vertical="center"/>
    </xf>
    <xf numFmtId="0" fontId="23" fillId="0" borderId="31" xfId="3" applyFont="1" applyBorder="1" applyAlignment="1">
      <alignment vertical="center" wrapText="1"/>
    </xf>
    <xf numFmtId="0" fontId="15" fillId="0" borderId="31" xfId="3" applyFont="1" applyBorder="1" applyAlignment="1">
      <alignment vertical="center"/>
    </xf>
    <xf numFmtId="3" fontId="24" fillId="6" borderId="31" xfId="3" applyNumberFormat="1" applyFont="1" applyFill="1" applyBorder="1" applyAlignment="1">
      <alignment vertical="center"/>
    </xf>
    <xf numFmtId="3" fontId="15" fillId="0" borderId="31" xfId="3" applyNumberFormat="1" applyFont="1" applyFill="1" applyBorder="1" applyAlignment="1">
      <alignment vertical="center"/>
    </xf>
    <xf numFmtId="0" fontId="22" fillId="0" borderId="30" xfId="3" applyFont="1" applyBorder="1" applyAlignment="1">
      <alignment vertical="center"/>
    </xf>
    <xf numFmtId="0" fontId="25" fillId="0" borderId="30" xfId="3" applyFont="1" applyBorder="1" applyAlignment="1">
      <alignment vertical="center" wrapText="1"/>
    </xf>
    <xf numFmtId="0" fontId="15" fillId="0" borderId="30" xfId="3" applyBorder="1" applyAlignment="1">
      <alignment horizontal="left" vertical="center" wrapText="1"/>
    </xf>
    <xf numFmtId="0" fontId="16" fillId="0" borderId="30" xfId="3" applyFont="1" applyBorder="1" applyAlignment="1">
      <alignment vertical="center"/>
    </xf>
    <xf numFmtId="3" fontId="22" fillId="0" borderId="30" xfId="3" applyNumberFormat="1" applyFont="1" applyBorder="1" applyAlignment="1">
      <alignment vertical="center"/>
    </xf>
    <xf numFmtId="3" fontId="26" fillId="0" borderId="33" xfId="3" applyNumberFormat="1" applyFont="1" applyBorder="1" applyAlignment="1">
      <alignment vertical="center"/>
    </xf>
    <xf numFmtId="3" fontId="24" fillId="11" borderId="31" xfId="3" applyNumberFormat="1" applyFont="1" applyFill="1" applyBorder="1" applyAlignment="1">
      <alignment vertical="center"/>
    </xf>
    <xf numFmtId="3" fontId="26" fillId="0" borderId="31" xfId="3" applyNumberFormat="1" applyFont="1" applyBorder="1" applyAlignment="1">
      <alignment vertical="center"/>
    </xf>
    <xf numFmtId="3" fontId="15" fillId="0" borderId="31" xfId="3" applyNumberFormat="1" applyBorder="1" applyAlignment="1">
      <alignment vertical="center"/>
    </xf>
    <xf numFmtId="3" fontId="15" fillId="0" borderId="31" xfId="3" applyNumberFormat="1" applyFill="1" applyBorder="1" applyAlignment="1">
      <alignment vertical="center"/>
    </xf>
    <xf numFmtId="3" fontId="15" fillId="0" borderId="32" xfId="3" applyNumberFormat="1" applyFill="1" applyBorder="1" applyAlignment="1">
      <alignment vertical="center"/>
    </xf>
    <xf numFmtId="3" fontId="16" fillId="0" borderId="30" xfId="3" applyNumberFormat="1" applyFont="1" applyBorder="1" applyAlignment="1">
      <alignment vertical="center"/>
    </xf>
    <xf numFmtId="0" fontId="26" fillId="0" borderId="30" xfId="3" applyFont="1" applyBorder="1" applyAlignment="1">
      <alignment vertical="center"/>
    </xf>
    <xf numFmtId="3" fontId="26" fillId="0" borderId="30" xfId="3" applyNumberFormat="1" applyFont="1" applyBorder="1" applyAlignment="1">
      <alignment vertical="center"/>
    </xf>
    <xf numFmtId="3" fontId="15" fillId="0" borderId="35" xfId="3" applyNumberFormat="1" applyFill="1" applyBorder="1" applyAlignment="1">
      <alignment vertical="center"/>
    </xf>
    <xf numFmtId="0" fontId="15" fillId="0" borderId="30" xfId="3" applyBorder="1" applyAlignment="1">
      <alignment vertical="center" wrapText="1"/>
    </xf>
    <xf numFmtId="3" fontId="24" fillId="11" borderId="30" xfId="3" applyNumberFormat="1" applyFont="1" applyFill="1" applyBorder="1" applyAlignment="1">
      <alignment vertical="center"/>
    </xf>
    <xf numFmtId="3" fontId="27" fillId="0" borderId="30" xfId="3" applyNumberFormat="1" applyFont="1" applyBorder="1" applyAlignment="1">
      <alignment vertical="center"/>
    </xf>
    <xf numFmtId="3" fontId="16" fillId="12" borderId="0" xfId="3" applyNumberFormat="1" applyFont="1" applyFill="1" applyAlignment="1">
      <alignment vertical="center"/>
    </xf>
    <xf numFmtId="3" fontId="15" fillId="0" borderId="0" xfId="3" applyNumberFormat="1" applyFont="1" applyAlignment="1">
      <alignment vertical="center"/>
    </xf>
    <xf numFmtId="0" fontId="15" fillId="12" borderId="30" xfId="3" applyFill="1" applyBorder="1" applyAlignment="1">
      <alignment vertical="center"/>
    </xf>
    <xf numFmtId="3" fontId="15" fillId="12" borderId="30" xfId="3" applyNumberFormat="1" applyFill="1" applyBorder="1" applyAlignment="1">
      <alignment vertical="center"/>
    </xf>
    <xf numFmtId="4" fontId="28" fillId="12" borderId="35" xfId="5" applyNumberFormat="1" applyFill="1" applyBorder="1" applyAlignment="1">
      <alignment vertical="center"/>
    </xf>
    <xf numFmtId="3" fontId="16" fillId="0" borderId="0" xfId="3" applyNumberFormat="1" applyFont="1" applyAlignment="1">
      <alignment vertical="center"/>
    </xf>
    <xf numFmtId="3" fontId="22" fillId="0" borderId="33" xfId="3" applyNumberFormat="1" applyFont="1" applyBorder="1" applyAlignment="1">
      <alignment vertical="center"/>
    </xf>
    <xf numFmtId="3" fontId="22" fillId="0" borderId="33" xfId="3" applyNumberFormat="1" applyFont="1" applyFill="1" applyBorder="1" applyAlignment="1">
      <alignment vertical="center"/>
    </xf>
    <xf numFmtId="3" fontId="22" fillId="0" borderId="34" xfId="3" applyNumberFormat="1" applyFont="1" applyFill="1" applyBorder="1" applyAlignment="1">
      <alignment vertical="center"/>
    </xf>
    <xf numFmtId="0" fontId="26" fillId="0" borderId="31" xfId="3" applyFont="1" applyBorder="1" applyAlignment="1">
      <alignment vertical="center"/>
    </xf>
    <xf numFmtId="3" fontId="16" fillId="0" borderId="30" xfId="3" applyNumberFormat="1" applyFont="1" applyFill="1" applyBorder="1" applyAlignment="1">
      <alignment vertical="center"/>
    </xf>
    <xf numFmtId="3" fontId="16" fillId="0" borderId="35" xfId="3" applyNumberFormat="1" applyFont="1" applyFill="1" applyBorder="1" applyAlignment="1">
      <alignment vertical="center"/>
    </xf>
    <xf numFmtId="0" fontId="26" fillId="0" borderId="33" xfId="3" applyFont="1" applyBorder="1" applyAlignment="1">
      <alignment vertical="center"/>
    </xf>
    <xf numFmtId="0" fontId="15" fillId="0" borderId="4" xfId="3" applyBorder="1" applyAlignment="1">
      <alignment vertical="center"/>
    </xf>
    <xf numFmtId="3" fontId="16" fillId="5" borderId="30" xfId="3" applyNumberFormat="1" applyFont="1" applyFill="1" applyBorder="1" applyAlignment="1">
      <alignment vertical="center"/>
    </xf>
    <xf numFmtId="0" fontId="16" fillId="10" borderId="0" xfId="3" applyFont="1" applyFill="1" applyBorder="1" applyAlignment="1">
      <alignment horizontal="center" vertical="center" wrapText="1"/>
    </xf>
    <xf numFmtId="0" fontId="15" fillId="0" borderId="8" xfId="3" applyBorder="1" applyAlignment="1">
      <alignment horizontal="center" vertical="center"/>
    </xf>
    <xf numFmtId="0" fontId="20" fillId="5" borderId="9" xfId="3" applyFont="1" applyFill="1" applyBorder="1" applyAlignment="1">
      <alignment horizontal="center" vertical="center" wrapText="1"/>
    </xf>
    <xf numFmtId="3" fontId="20" fillId="5" borderId="9" xfId="3" applyNumberFormat="1" applyFont="1" applyFill="1" applyBorder="1" applyAlignment="1">
      <alignment horizontal="center" vertical="center"/>
    </xf>
    <xf numFmtId="0" fontId="20" fillId="0" borderId="8" xfId="3" applyFont="1" applyFill="1" applyBorder="1" applyAlignment="1">
      <alignment horizontal="center" vertical="center" wrapText="1"/>
    </xf>
    <xf numFmtId="3" fontId="20" fillId="0" borderId="39" xfId="3" applyNumberFormat="1" applyFont="1" applyFill="1" applyBorder="1" applyAlignment="1">
      <alignment vertical="center"/>
    </xf>
    <xf numFmtId="3" fontId="20" fillId="0" borderId="9" xfId="3" applyNumberFormat="1" applyFont="1" applyFill="1" applyBorder="1" applyAlignment="1">
      <alignment horizontal="center" vertical="center"/>
    </xf>
    <xf numFmtId="3" fontId="20" fillId="0" borderId="10" xfId="3" applyNumberFormat="1" applyFont="1" applyFill="1" applyBorder="1" applyAlignment="1">
      <alignment horizontal="center" vertical="center"/>
    </xf>
    <xf numFmtId="0" fontId="15" fillId="0" borderId="0" xfId="3" applyFont="1" applyAlignment="1">
      <alignment horizontal="center" vertical="center"/>
    </xf>
    <xf numFmtId="0" fontId="15" fillId="0" borderId="0" xfId="3" applyAlignment="1">
      <alignment horizontal="center" vertical="center"/>
    </xf>
    <xf numFmtId="0" fontId="15" fillId="0" borderId="0" xfId="3" applyAlignment="1">
      <alignment vertical="center" wrapText="1"/>
    </xf>
    <xf numFmtId="3" fontId="15" fillId="0" borderId="0" xfId="3" applyNumberFormat="1" applyBorder="1" applyAlignment="1">
      <alignment vertical="center"/>
    </xf>
    <xf numFmtId="0" fontId="15" fillId="12" borderId="0" xfId="3" applyFont="1" applyFill="1" applyAlignment="1">
      <alignment vertical="center"/>
    </xf>
    <xf numFmtId="3" fontId="15" fillId="12" borderId="0" xfId="3" applyNumberFormat="1" applyFont="1" applyFill="1" applyAlignment="1">
      <alignment vertical="center"/>
    </xf>
    <xf numFmtId="3" fontId="15" fillId="0" borderId="0" xfId="3" applyNumberFormat="1" applyFill="1" applyAlignment="1">
      <alignment vertical="center"/>
    </xf>
    <xf numFmtId="174" fontId="15" fillId="12" borderId="0" xfId="6" applyNumberFormat="1" applyFont="1" applyFill="1" applyAlignment="1">
      <alignment vertical="center"/>
    </xf>
    <xf numFmtId="0" fontId="20" fillId="0" borderId="0" xfId="3" applyFont="1" applyAlignment="1">
      <alignment vertical="center"/>
    </xf>
    <xf numFmtId="174" fontId="20" fillId="0" borderId="0" xfId="6" applyNumberFormat="1" applyFont="1" applyAlignment="1">
      <alignment vertical="center"/>
    </xf>
    <xf numFmtId="174" fontId="20" fillId="0" borderId="0" xfId="6" applyNumberFormat="1" applyFont="1" applyFill="1" applyAlignment="1">
      <alignment vertical="center"/>
    </xf>
    <xf numFmtId="0" fontId="15" fillId="0" borderId="0" xfId="3" applyFont="1" applyAlignment="1">
      <alignment vertical="center" wrapText="1"/>
    </xf>
    <xf numFmtId="0" fontId="15" fillId="10" borderId="0" xfId="3" applyFont="1" applyFill="1" applyAlignment="1">
      <alignment vertical="center"/>
    </xf>
    <xf numFmtId="174" fontId="15" fillId="10" borderId="0" xfId="6" applyNumberFormat="1" applyFont="1" applyFill="1" applyAlignment="1">
      <alignment vertical="center"/>
    </xf>
    <xf numFmtId="0" fontId="15" fillId="0" borderId="40" xfId="3" applyBorder="1" applyAlignment="1">
      <alignment vertical="center"/>
    </xf>
    <xf numFmtId="174" fontId="16" fillId="0" borderId="41" xfId="6" applyNumberFormat="1" applyFont="1" applyBorder="1" applyAlignment="1">
      <alignment vertical="center"/>
    </xf>
    <xf numFmtId="3" fontId="15" fillId="0" borderId="41" xfId="3" applyNumberFormat="1" applyFont="1" applyFill="1" applyBorder="1" applyAlignment="1">
      <alignment vertical="center"/>
    </xf>
    <xf numFmtId="174" fontId="16" fillId="0" borderId="42" xfId="6" applyNumberFormat="1" applyFont="1" applyBorder="1" applyAlignment="1">
      <alignment vertical="center"/>
    </xf>
    <xf numFmtId="0" fontId="15" fillId="0" borderId="3" xfId="3" applyFill="1" applyBorder="1" applyAlignment="1">
      <alignment vertical="center"/>
    </xf>
    <xf numFmtId="0" fontId="15" fillId="0" borderId="4" xfId="3" applyFill="1" applyBorder="1" applyAlignment="1">
      <alignment vertical="center"/>
    </xf>
    <xf numFmtId="0" fontId="15" fillId="0" borderId="5" xfId="3" applyFill="1" applyBorder="1" applyAlignment="1">
      <alignment vertical="center"/>
    </xf>
    <xf numFmtId="174" fontId="16" fillId="0" borderId="0" xfId="3" applyNumberFormat="1" applyFont="1" applyFill="1" applyAlignment="1">
      <alignment vertical="center"/>
    </xf>
    <xf numFmtId="0" fontId="15" fillId="0" borderId="43" xfId="3" applyBorder="1" applyAlignment="1">
      <alignment vertical="center"/>
    </xf>
    <xf numFmtId="3" fontId="15" fillId="0" borderId="44" xfId="3" applyNumberFormat="1" applyBorder="1" applyAlignment="1">
      <alignment vertical="center"/>
    </xf>
    <xf numFmtId="3" fontId="15" fillId="0" borderId="44" xfId="3" applyNumberFormat="1" applyFont="1" applyFill="1" applyBorder="1" applyAlignment="1">
      <alignment vertical="center"/>
    </xf>
    <xf numFmtId="3" fontId="15" fillId="0" borderId="45" xfId="3" applyNumberFormat="1" applyBorder="1" applyAlignment="1">
      <alignment vertical="center"/>
    </xf>
    <xf numFmtId="3" fontId="15" fillId="0" borderId="8" xfId="3" applyNumberFormat="1" applyFill="1" applyBorder="1" applyAlignment="1">
      <alignment vertical="center"/>
    </xf>
    <xf numFmtId="9" fontId="15" fillId="6" borderId="9" xfId="3" applyNumberFormat="1" applyFill="1" applyBorder="1" applyAlignment="1">
      <alignment vertical="center"/>
    </xf>
    <xf numFmtId="3" fontId="15" fillId="0" borderId="9" xfId="3" applyNumberFormat="1" applyFill="1" applyBorder="1" applyAlignment="1">
      <alignment vertical="center"/>
    </xf>
    <xf numFmtId="3" fontId="15" fillId="0" borderId="10" xfId="3" applyNumberFormat="1" applyFill="1" applyBorder="1" applyAlignment="1">
      <alignment vertical="center"/>
    </xf>
    <xf numFmtId="3" fontId="19" fillId="0" borderId="0" xfId="3" applyNumberFormat="1" applyFont="1" applyFill="1" applyAlignment="1">
      <alignment vertical="center"/>
    </xf>
    <xf numFmtId="0" fontId="15" fillId="0" borderId="46" xfId="3" applyBorder="1" applyAlignment="1">
      <alignment vertical="center"/>
    </xf>
    <xf numFmtId="3" fontId="15" fillId="0" borderId="47" xfId="3" applyNumberFormat="1" applyBorder="1" applyAlignment="1">
      <alignment vertical="center"/>
    </xf>
    <xf numFmtId="10" fontId="15" fillId="0" borderId="47" xfId="3" applyNumberFormat="1" applyFont="1" applyFill="1" applyBorder="1" applyAlignment="1">
      <alignment vertical="center"/>
    </xf>
    <xf numFmtId="3" fontId="15" fillId="0" borderId="48" xfId="3" applyNumberFormat="1" applyBorder="1" applyAlignment="1">
      <alignment vertical="center"/>
    </xf>
    <xf numFmtId="3" fontId="15" fillId="0" borderId="41" xfId="3" applyNumberFormat="1" applyBorder="1" applyAlignment="1">
      <alignment vertical="center"/>
    </xf>
    <xf numFmtId="10" fontId="15" fillId="0" borderId="41" xfId="3" applyNumberFormat="1" applyFont="1" applyFill="1" applyBorder="1" applyAlignment="1">
      <alignment vertical="center"/>
    </xf>
    <xf numFmtId="3" fontId="15" fillId="0" borderId="42" xfId="3" applyNumberFormat="1" applyBorder="1" applyAlignment="1">
      <alignment vertical="center"/>
    </xf>
    <xf numFmtId="0" fontId="15" fillId="0" borderId="49" xfId="3" applyBorder="1" applyAlignment="1">
      <alignment vertical="center"/>
    </xf>
    <xf numFmtId="0" fontId="15" fillId="0" borderId="50" xfId="3" applyBorder="1" applyAlignment="1">
      <alignment vertical="center"/>
    </xf>
    <xf numFmtId="10" fontId="15" fillId="0" borderId="50" xfId="3" applyNumberFormat="1" applyBorder="1" applyAlignment="1">
      <alignment vertical="center"/>
    </xf>
    <xf numFmtId="0" fontId="15" fillId="0" borderId="51" xfId="3" applyBorder="1" applyAlignment="1">
      <alignment vertical="center"/>
    </xf>
    <xf numFmtId="0" fontId="15" fillId="0" borderId="44" xfId="3" applyBorder="1" applyAlignment="1">
      <alignment vertical="center"/>
    </xf>
    <xf numFmtId="10" fontId="15" fillId="0" borderId="44" xfId="3" applyNumberFormat="1" applyBorder="1" applyAlignment="1">
      <alignment vertical="center"/>
    </xf>
    <xf numFmtId="0" fontId="15" fillId="0" borderId="45" xfId="3" applyBorder="1" applyAlignment="1">
      <alignment vertical="center"/>
    </xf>
    <xf numFmtId="0" fontId="15" fillId="0" borderId="46" xfId="3" applyFill="1" applyBorder="1" applyAlignment="1">
      <alignment vertical="center"/>
    </xf>
    <xf numFmtId="0" fontId="15" fillId="0" borderId="47" xfId="3" applyFill="1" applyBorder="1" applyAlignment="1">
      <alignment vertical="center"/>
    </xf>
    <xf numFmtId="10" fontId="15" fillId="0" borderId="47" xfId="3" applyNumberFormat="1" applyFill="1" applyBorder="1" applyAlignment="1">
      <alignment vertical="center"/>
    </xf>
    <xf numFmtId="0" fontId="15" fillId="0" borderId="48" xfId="3" applyFill="1" applyBorder="1" applyAlignment="1">
      <alignment vertical="center"/>
    </xf>
    <xf numFmtId="0" fontId="15" fillId="0" borderId="11" xfId="3" applyFill="1" applyBorder="1" applyAlignment="1">
      <alignment vertical="center"/>
    </xf>
    <xf numFmtId="0" fontId="15" fillId="0" borderId="12" xfId="3" applyFill="1" applyBorder="1" applyAlignment="1">
      <alignment vertical="center"/>
    </xf>
    <xf numFmtId="0" fontId="15" fillId="0" borderId="13" xfId="3" applyFill="1" applyBorder="1" applyAlignment="1">
      <alignment vertical="center"/>
    </xf>
    <xf numFmtId="174" fontId="15" fillId="0" borderId="0" xfId="3" applyNumberFormat="1" applyAlignment="1">
      <alignment vertical="center"/>
    </xf>
    <xf numFmtId="3" fontId="21" fillId="0" borderId="0" xfId="3" applyNumberFormat="1" applyFont="1" applyBorder="1" applyAlignment="1">
      <alignment vertical="center"/>
    </xf>
    <xf numFmtId="0" fontId="15" fillId="0" borderId="0" xfId="3" applyBorder="1" applyAlignment="1">
      <alignment vertical="center"/>
    </xf>
    <xf numFmtId="3" fontId="22" fillId="0" borderId="0" xfId="3" applyNumberFormat="1" applyFont="1" applyBorder="1" applyAlignment="1">
      <alignment vertical="center"/>
    </xf>
    <xf numFmtId="3" fontId="16" fillId="0" borderId="0" xfId="3" applyNumberFormat="1" applyFont="1" applyBorder="1" applyAlignment="1">
      <alignment vertical="center"/>
    </xf>
    <xf numFmtId="174" fontId="26" fillId="0" borderId="0" xfId="6" applyNumberFormat="1" applyFont="1"/>
    <xf numFmtId="174" fontId="16" fillId="11" borderId="0" xfId="6" applyNumberFormat="1" applyFont="1" applyFill="1" applyAlignment="1">
      <alignment horizontal="center"/>
    </xf>
    <xf numFmtId="174" fontId="15" fillId="11" borderId="0" xfId="6" applyNumberFormat="1" applyFill="1"/>
    <xf numFmtId="174" fontId="15" fillId="0" borderId="52" xfId="6" applyNumberFormat="1" applyFont="1" applyBorder="1"/>
    <xf numFmtId="0" fontId="15" fillId="0" borderId="53" xfId="3" applyBorder="1"/>
    <xf numFmtId="0" fontId="15" fillId="0" borderId="54" xfId="3" applyBorder="1"/>
    <xf numFmtId="3" fontId="15" fillId="0" borderId="0" xfId="3" applyNumberFormat="1"/>
    <xf numFmtId="0" fontId="15" fillId="0" borderId="0" xfId="3"/>
    <xf numFmtId="0" fontId="24" fillId="0" borderId="0" xfId="6" applyNumberFormat="1" applyFont="1"/>
    <xf numFmtId="3" fontId="16" fillId="0" borderId="0" xfId="6" applyNumberFormat="1" applyFont="1" applyAlignment="1">
      <alignment horizontal="center"/>
    </xf>
    <xf numFmtId="174" fontId="15" fillId="0" borderId="0" xfId="6" applyNumberFormat="1"/>
    <xf numFmtId="174" fontId="16" fillId="0" borderId="55" xfId="6" applyNumberFormat="1" applyFont="1" applyBorder="1"/>
    <xf numFmtId="174" fontId="15" fillId="0" borderId="56" xfId="6" applyNumberFormat="1" applyFill="1" applyBorder="1"/>
    <xf numFmtId="174" fontId="15" fillId="0" borderId="57" xfId="6" applyNumberFormat="1" applyBorder="1"/>
    <xf numFmtId="9" fontId="0" fillId="0" borderId="0" xfId="4" applyFont="1"/>
    <xf numFmtId="174" fontId="15" fillId="0" borderId="55" xfId="6" applyNumberFormat="1" applyBorder="1"/>
    <xf numFmtId="3" fontId="16" fillId="6" borderId="0" xfId="6" applyNumberFormat="1" applyFont="1" applyFill="1" applyAlignment="1">
      <alignment horizontal="center"/>
    </xf>
    <xf numFmtId="174" fontId="15" fillId="6" borderId="0" xfId="6" applyNumberFormat="1" applyFill="1"/>
    <xf numFmtId="174" fontId="15" fillId="6" borderId="55" xfId="6" applyNumberFormat="1" applyFill="1" applyBorder="1"/>
    <xf numFmtId="174" fontId="15" fillId="6" borderId="56" xfId="6" applyNumberFormat="1" applyFill="1" applyBorder="1"/>
    <xf numFmtId="174" fontId="15" fillId="6" borderId="57" xfId="6" applyNumberFormat="1" applyFill="1" applyBorder="1"/>
    <xf numFmtId="3" fontId="15" fillId="6" borderId="0" xfId="3" applyNumberFormat="1" applyFill="1"/>
    <xf numFmtId="9" fontId="0" fillId="6" borderId="0" xfId="4" applyFont="1" applyFill="1"/>
    <xf numFmtId="174" fontId="26" fillId="6" borderId="0" xfId="6" applyNumberFormat="1" applyFont="1" applyFill="1"/>
    <xf numFmtId="0" fontId="24" fillId="6" borderId="0" xfId="6" applyNumberFormat="1" applyFont="1" applyFill="1"/>
    <xf numFmtId="3" fontId="16" fillId="0" borderId="0" xfId="6" applyNumberFormat="1" applyFont="1" applyFill="1" applyAlignment="1">
      <alignment horizontal="center"/>
    </xf>
    <xf numFmtId="174" fontId="15" fillId="0" borderId="0" xfId="6" applyNumberFormat="1" applyFill="1"/>
    <xf numFmtId="174" fontId="15" fillId="0" borderId="55" xfId="6" applyNumberFormat="1" applyFill="1" applyBorder="1"/>
    <xf numFmtId="174" fontId="15" fillId="0" borderId="57" xfId="6" applyNumberFormat="1" applyFill="1" applyBorder="1"/>
    <xf numFmtId="3" fontId="15" fillId="0" borderId="0" xfId="3" applyNumberFormat="1" applyFill="1"/>
    <xf numFmtId="9" fontId="0" fillId="0" borderId="0" xfId="4" applyFont="1" applyFill="1"/>
    <xf numFmtId="174" fontId="15" fillId="0" borderId="56" xfId="6" applyNumberFormat="1" applyBorder="1"/>
    <xf numFmtId="0" fontId="26" fillId="0" borderId="0" xfId="6" applyNumberFormat="1" applyFont="1"/>
    <xf numFmtId="0" fontId="15" fillId="0" borderId="56" xfId="3" applyBorder="1"/>
    <xf numFmtId="0" fontId="15" fillId="0" borderId="57" xfId="3" applyBorder="1"/>
    <xf numFmtId="174" fontId="16" fillId="0" borderId="0" xfId="6" applyNumberFormat="1" applyFont="1" applyAlignment="1">
      <alignment horizontal="center"/>
    </xf>
    <xf numFmtId="174" fontId="29" fillId="0" borderId="56" xfId="6" applyNumberFormat="1" applyFont="1" applyBorder="1"/>
    <xf numFmtId="174" fontId="24" fillId="0" borderId="56" xfId="6" applyNumberFormat="1" applyFont="1" applyBorder="1"/>
    <xf numFmtId="174" fontId="16" fillId="0" borderId="56" xfId="3" applyNumberFormat="1" applyFont="1" applyBorder="1"/>
    <xf numFmtId="174" fontId="15" fillId="0" borderId="56" xfId="3" applyNumberFormat="1" applyBorder="1"/>
    <xf numFmtId="174" fontId="15" fillId="0" borderId="58" xfId="6" applyNumberFormat="1" applyBorder="1"/>
    <xf numFmtId="174" fontId="16" fillId="0" borderId="59" xfId="3" applyNumberFormat="1" applyFont="1" applyBorder="1"/>
    <xf numFmtId="0" fontId="15" fillId="0" borderId="59" xfId="3" applyBorder="1"/>
    <xf numFmtId="0" fontId="15" fillId="0" borderId="60" xfId="3" applyBorder="1"/>
    <xf numFmtId="3" fontId="15" fillId="0" borderId="0" xfId="3" applyNumberFormat="1" applyAlignment="1">
      <alignment vertical="center"/>
    </xf>
    <xf numFmtId="10" fontId="15" fillId="0" borderId="0" xfId="3" applyNumberFormat="1" applyAlignment="1">
      <alignment vertical="center"/>
    </xf>
    <xf numFmtId="4" fontId="15" fillId="0" borderId="0" xfId="3" applyNumberFormat="1" applyAlignment="1">
      <alignment vertical="center"/>
    </xf>
    <xf numFmtId="9" fontId="3" fillId="0" borderId="0" xfId="0" applyNumberFormat="1" applyFont="1" applyFill="1"/>
    <xf numFmtId="0" fontId="14" fillId="0" borderId="0" xfId="0" applyFont="1" applyFill="1" applyBorder="1"/>
    <xf numFmtId="165" fontId="14" fillId="0" borderId="0" xfId="0" applyNumberFormat="1" applyFont="1" applyFill="1" applyBorder="1"/>
    <xf numFmtId="164" fontId="14" fillId="0" borderId="0" xfId="0" applyNumberFormat="1" applyFont="1" applyFill="1" applyBorder="1"/>
    <xf numFmtId="168" fontId="0" fillId="0" borderId="0" xfId="0" applyNumberFormat="1"/>
    <xf numFmtId="0" fontId="8" fillId="0" borderId="0" xfId="0" applyFont="1"/>
    <xf numFmtId="10" fontId="8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2" fontId="0" fillId="0" borderId="0" xfId="0" applyNumberFormat="1"/>
    <xf numFmtId="170" fontId="11" fillId="0" borderId="0" xfId="0" applyNumberFormat="1" applyFont="1"/>
    <xf numFmtId="0" fontId="0" fillId="0" borderId="0" xfId="0" applyBorder="1"/>
    <xf numFmtId="10" fontId="11" fillId="0" borderId="0" xfId="0" applyNumberFormat="1" applyFont="1" applyBorder="1"/>
    <xf numFmtId="2" fontId="11" fillId="0" borderId="0" xfId="0" applyNumberFormat="1" applyFont="1" applyBorder="1"/>
    <xf numFmtId="0" fontId="11" fillId="0" borderId="0" xfId="0" applyFont="1" applyFill="1" applyBorder="1"/>
    <xf numFmtId="166" fontId="0" fillId="0" borderId="0" xfId="1" applyNumberFormat="1" applyFont="1" applyBorder="1"/>
    <xf numFmtId="166" fontId="11" fillId="0" borderId="0" xfId="0" applyNumberFormat="1" applyFont="1" applyBorder="1"/>
    <xf numFmtId="10" fontId="0" fillId="0" borderId="0" xfId="1" applyNumberFormat="1" applyFont="1"/>
    <xf numFmtId="10" fontId="3" fillId="0" borderId="0" xfId="1" applyNumberFormat="1" applyFont="1"/>
    <xf numFmtId="10" fontId="8" fillId="0" borderId="0" xfId="1" applyNumberFormat="1" applyFont="1"/>
    <xf numFmtId="2" fontId="0" fillId="0" borderId="0" xfId="1" applyNumberFormat="1" applyFont="1"/>
    <xf numFmtId="9" fontId="3" fillId="0" borderId="0" xfId="0" applyNumberFormat="1" applyFont="1"/>
    <xf numFmtId="1" fontId="3" fillId="0" borderId="0" xfId="0" applyNumberFormat="1" applyFont="1"/>
    <xf numFmtId="9" fontId="0" fillId="0" borderId="0" xfId="0" applyNumberFormat="1"/>
    <xf numFmtId="0" fontId="11" fillId="0" borderId="63" xfId="0" applyFont="1" applyBorder="1"/>
    <xf numFmtId="0" fontId="11" fillId="0" borderId="63" xfId="0" applyFont="1" applyFill="1" applyBorder="1"/>
    <xf numFmtId="10" fontId="13" fillId="0" borderId="0" xfId="0" applyNumberFormat="1" applyFont="1" applyAlignment="1">
      <alignment horizontal="center"/>
    </xf>
    <xf numFmtId="0" fontId="32" fillId="0" borderId="0" xfId="0" applyFont="1"/>
    <xf numFmtId="168" fontId="33" fillId="0" borderId="0" xfId="0" applyNumberFormat="1" applyFont="1"/>
    <xf numFmtId="168" fontId="7" fillId="0" borderId="0" xfId="0" applyNumberFormat="1" applyFont="1"/>
    <xf numFmtId="168" fontId="11" fillId="0" borderId="0" xfId="0" applyNumberFormat="1" applyFont="1" applyFill="1"/>
    <xf numFmtId="10" fontId="11" fillId="0" borderId="0" xfId="0" applyNumberFormat="1" applyFont="1" applyFill="1" applyAlignment="1">
      <alignment horizontal="center"/>
    </xf>
    <xf numFmtId="0" fontId="11" fillId="0" borderId="0" xfId="0" applyFont="1" applyFill="1" applyAlignment="1">
      <alignment horizontal="left"/>
    </xf>
    <xf numFmtId="0" fontId="34" fillId="0" borderId="0" xfId="0" applyFont="1"/>
    <xf numFmtId="0" fontId="35" fillId="0" borderId="0" xfId="0" applyFont="1" applyAlignment="1"/>
    <xf numFmtId="4" fontId="35" fillId="0" borderId="0" xfId="0" applyNumberFormat="1" applyFont="1" applyAlignment="1"/>
    <xf numFmtId="166" fontId="0" fillId="0" borderId="0" xfId="0" applyNumberFormat="1"/>
    <xf numFmtId="166" fontId="8" fillId="0" borderId="0" xfId="1" applyNumberFormat="1" applyFont="1"/>
    <xf numFmtId="2" fontId="0" fillId="0" borderId="0" xfId="0" applyNumberFormat="1" applyBorder="1"/>
    <xf numFmtId="168" fontId="0" fillId="0" borderId="0" xfId="0" applyNumberFormat="1" applyBorder="1"/>
    <xf numFmtId="0" fontId="36" fillId="0" borderId="0" xfId="0" applyFont="1" applyBorder="1"/>
    <xf numFmtId="10" fontId="36" fillId="0" borderId="0" xfId="0" applyNumberFormat="1" applyFont="1" applyBorder="1"/>
    <xf numFmtId="10" fontId="36" fillId="0" borderId="64" xfId="0" applyNumberFormat="1" applyFont="1" applyBorder="1"/>
    <xf numFmtId="2" fontId="36" fillId="0" borderId="0" xfId="0" applyNumberFormat="1" applyFont="1" applyBorder="1"/>
    <xf numFmtId="2" fontId="36" fillId="0" borderId="64" xfId="0" applyNumberFormat="1" applyFont="1" applyBorder="1"/>
    <xf numFmtId="168" fontId="36" fillId="0" borderId="0" xfId="0" applyNumberFormat="1" applyFont="1" applyBorder="1"/>
    <xf numFmtId="168" fontId="36" fillId="0" borderId="64" xfId="0" applyNumberFormat="1" applyFont="1" applyBorder="1"/>
    <xf numFmtId="166" fontId="36" fillId="0" borderId="0" xfId="0" applyNumberFormat="1" applyFont="1" applyBorder="1"/>
    <xf numFmtId="166" fontId="36" fillId="0" borderId="64" xfId="0" applyNumberFormat="1" applyFont="1" applyBorder="1"/>
    <xf numFmtId="166" fontId="36" fillId="0" borderId="0" xfId="1" applyNumberFormat="1" applyFont="1" applyBorder="1"/>
    <xf numFmtId="166" fontId="36" fillId="0" borderId="64" xfId="1" applyNumberFormat="1" applyFont="1" applyBorder="1"/>
    <xf numFmtId="0" fontId="36" fillId="0" borderId="14" xfId="0" applyFont="1" applyBorder="1"/>
    <xf numFmtId="0" fontId="36" fillId="0" borderId="67" xfId="0" applyFont="1" applyBorder="1"/>
    <xf numFmtId="10" fontId="36" fillId="0" borderId="68" xfId="0" applyNumberFormat="1" applyFont="1" applyBorder="1"/>
    <xf numFmtId="2" fontId="36" fillId="0" borderId="68" xfId="0" applyNumberFormat="1" applyFont="1" applyBorder="1"/>
    <xf numFmtId="0" fontId="36" fillId="0" borderId="67" xfId="0" applyFont="1" applyFill="1" applyBorder="1"/>
    <xf numFmtId="168" fontId="36" fillId="0" borderId="68" xfId="0" applyNumberFormat="1" applyFont="1" applyBorder="1"/>
    <xf numFmtId="166" fontId="36" fillId="0" borderId="68" xfId="0" applyNumberFormat="1" applyFont="1" applyBorder="1"/>
    <xf numFmtId="166" fontId="36" fillId="0" borderId="68" xfId="1" applyNumberFormat="1" applyFont="1" applyBorder="1"/>
    <xf numFmtId="10" fontId="36" fillId="0" borderId="0" xfId="0" applyNumberFormat="1" applyFont="1" applyBorder="1" applyAlignment="1"/>
    <xf numFmtId="10" fontId="36" fillId="0" borderId="68" xfId="0" applyNumberFormat="1" applyFont="1" applyBorder="1" applyAlignment="1"/>
    <xf numFmtId="0" fontId="36" fillId="0" borderId="68" xfId="0" applyFont="1" applyBorder="1"/>
    <xf numFmtId="0" fontId="36" fillId="0" borderId="18" xfId="0" applyFont="1" applyBorder="1"/>
    <xf numFmtId="0" fontId="36" fillId="0" borderId="20" xfId="0" applyFont="1" applyBorder="1"/>
    <xf numFmtId="0" fontId="36" fillId="0" borderId="67" xfId="0" quotePrefix="1" applyFont="1" applyBorder="1"/>
    <xf numFmtId="0" fontId="37" fillId="0" borderId="67" xfId="0" applyFont="1" applyBorder="1"/>
    <xf numFmtId="0" fontId="37" fillId="0" borderId="0" xfId="0" applyFont="1" applyBorder="1"/>
    <xf numFmtId="0" fontId="37" fillId="0" borderId="68" xfId="0" applyFont="1" applyBorder="1"/>
    <xf numFmtId="0" fontId="38" fillId="0" borderId="0" xfId="0" applyFont="1" applyBorder="1"/>
    <xf numFmtId="0" fontId="38" fillId="0" borderId="68" xfId="0" applyFont="1" applyBorder="1"/>
    <xf numFmtId="9" fontId="36" fillId="0" borderId="0" xfId="0" applyNumberFormat="1" applyFont="1" applyBorder="1"/>
    <xf numFmtId="0" fontId="36" fillId="0" borderId="21" xfId="0" quotePrefix="1" applyFont="1" applyBorder="1"/>
    <xf numFmtId="0" fontId="36" fillId="0" borderId="22" xfId="0" applyFont="1" applyBorder="1"/>
    <xf numFmtId="0" fontId="38" fillId="0" borderId="19" xfId="0" applyFont="1" applyBorder="1"/>
    <xf numFmtId="0" fontId="38" fillId="0" borderId="67" xfId="0" applyFont="1" applyBorder="1"/>
    <xf numFmtId="0" fontId="11" fillId="0" borderId="67" xfId="0" applyFont="1" applyBorder="1"/>
    <xf numFmtId="171" fontId="10" fillId="0" borderId="0" xfId="0" applyNumberFormat="1" applyFont="1" applyBorder="1"/>
    <xf numFmtId="10" fontId="9" fillId="3" borderId="0" xfId="1" applyNumberFormat="1" applyFont="1" applyFill="1" applyBorder="1"/>
    <xf numFmtId="10" fontId="9" fillId="3" borderId="68" xfId="1" applyNumberFormat="1" applyFont="1" applyFill="1" applyBorder="1"/>
    <xf numFmtId="0" fontId="9" fillId="3" borderId="0" xfId="0" applyFont="1" applyFill="1" applyBorder="1"/>
    <xf numFmtId="10" fontId="9" fillId="3" borderId="0" xfId="1" applyNumberFormat="1" applyFont="1" applyFill="1" applyBorder="1" applyAlignment="1">
      <alignment horizontal="center"/>
    </xf>
    <xf numFmtId="0" fontId="9" fillId="3" borderId="18" xfId="0" applyFont="1" applyFill="1" applyBorder="1"/>
    <xf numFmtId="10" fontId="9" fillId="3" borderId="18" xfId="1" applyNumberFormat="1" applyFont="1" applyFill="1" applyBorder="1" applyAlignment="1">
      <alignment horizontal="center"/>
    </xf>
    <xf numFmtId="10" fontId="10" fillId="0" borderId="0" xfId="0" applyNumberFormat="1" applyFont="1" applyAlignment="1">
      <alignment horizontal="center"/>
    </xf>
    <xf numFmtId="0" fontId="0" fillId="0" borderId="14" xfId="0" applyBorder="1"/>
    <xf numFmtId="168" fontId="36" fillId="0" borderId="0" xfId="0" applyNumberFormat="1" applyFont="1"/>
    <xf numFmtId="170" fontId="11" fillId="0" borderId="0" xfId="0" applyNumberFormat="1" applyFont="1" applyBorder="1"/>
    <xf numFmtId="170" fontId="11" fillId="0" borderId="68" xfId="0" applyNumberFormat="1" applyFont="1" applyBorder="1"/>
    <xf numFmtId="0" fontId="11" fillId="0" borderId="21" xfId="0" applyFont="1" applyBorder="1"/>
    <xf numFmtId="170" fontId="11" fillId="0" borderId="22" xfId="0" applyNumberFormat="1" applyFont="1" applyBorder="1"/>
    <xf numFmtId="0" fontId="12" fillId="0" borderId="14" xfId="0" applyFont="1" applyBorder="1"/>
    <xf numFmtId="0" fontId="12" fillId="0" borderId="20" xfId="0" applyFont="1" applyBorder="1"/>
    <xf numFmtId="168" fontId="11" fillId="0" borderId="15" xfId="0" applyNumberFormat="1" applyFont="1" applyBorder="1"/>
    <xf numFmtId="168" fontId="11" fillId="0" borderId="14" xfId="0" applyNumberFormat="1" applyFont="1" applyBorder="1"/>
    <xf numFmtId="0" fontId="0" fillId="0" borderId="15" xfId="0" applyBorder="1"/>
    <xf numFmtId="0" fontId="38" fillId="13" borderId="19" xfId="0" applyFont="1" applyFill="1" applyBorder="1"/>
    <xf numFmtId="0" fontId="38" fillId="13" borderId="14" xfId="0" applyFont="1" applyFill="1" applyBorder="1"/>
    <xf numFmtId="0" fontId="2" fillId="13" borderId="14" xfId="0" applyFont="1" applyFill="1" applyBorder="1"/>
    <xf numFmtId="0" fontId="38" fillId="13" borderId="14" xfId="0" applyFont="1" applyFill="1" applyBorder="1" applyAlignment="1">
      <alignment horizontal="center"/>
    </xf>
    <xf numFmtId="0" fontId="38" fillId="13" borderId="20" xfId="0" applyFont="1" applyFill="1" applyBorder="1" applyAlignment="1">
      <alignment horizontal="center"/>
    </xf>
    <xf numFmtId="0" fontId="38" fillId="13" borderId="21" xfId="0" applyFont="1" applyFill="1" applyBorder="1"/>
    <xf numFmtId="0" fontId="38" fillId="13" borderId="18" xfId="0" applyFont="1" applyFill="1" applyBorder="1"/>
    <xf numFmtId="0" fontId="2" fillId="13" borderId="18" xfId="0" applyFont="1" applyFill="1" applyBorder="1"/>
    <xf numFmtId="10" fontId="38" fillId="13" borderId="18" xfId="1" applyNumberFormat="1" applyFont="1" applyFill="1" applyBorder="1"/>
    <xf numFmtId="10" fontId="38" fillId="13" borderId="22" xfId="1" applyNumberFormat="1" applyFont="1" applyFill="1" applyBorder="1"/>
    <xf numFmtId="168" fontId="11" fillId="0" borderId="0" xfId="0" applyNumberFormat="1" applyFont="1" applyBorder="1"/>
    <xf numFmtId="168" fontId="11" fillId="0" borderId="68" xfId="0" applyNumberFormat="1" applyFont="1" applyBorder="1"/>
    <xf numFmtId="168" fontId="11" fillId="4" borderId="0" xfId="0" applyNumberFormat="1" applyFont="1" applyFill="1" applyBorder="1"/>
    <xf numFmtId="168" fontId="12" fillId="4" borderId="0" xfId="0" applyNumberFormat="1" applyFont="1" applyFill="1" applyBorder="1"/>
    <xf numFmtId="168" fontId="11" fillId="0" borderId="18" xfId="0" applyNumberFormat="1" applyFont="1" applyBorder="1"/>
    <xf numFmtId="168" fontId="11" fillId="0" borderId="22" xfId="0" applyNumberFormat="1" applyFont="1" applyBorder="1"/>
    <xf numFmtId="0" fontId="36" fillId="0" borderId="0" xfId="0" quotePrefix="1" applyFont="1" applyBorder="1"/>
    <xf numFmtId="9" fontId="11" fillId="0" borderId="0" xfId="0" applyNumberFormat="1" applyFont="1" applyBorder="1"/>
    <xf numFmtId="0" fontId="11" fillId="0" borderId="68" xfId="0" applyFont="1" applyBorder="1"/>
    <xf numFmtId="0" fontId="11" fillId="0" borderId="18" xfId="0" applyFont="1" applyBorder="1"/>
    <xf numFmtId="1" fontId="11" fillId="0" borderId="18" xfId="0" applyNumberFormat="1" applyFont="1" applyBorder="1"/>
    <xf numFmtId="0" fontId="38" fillId="0" borderId="22" xfId="0" applyFont="1" applyBorder="1"/>
    <xf numFmtId="0" fontId="38" fillId="13" borderId="61" xfId="0" applyFont="1" applyFill="1" applyBorder="1"/>
    <xf numFmtId="0" fontId="38" fillId="13" borderId="23" xfId="0" applyFont="1" applyFill="1" applyBorder="1"/>
    <xf numFmtId="0" fontId="38" fillId="13" borderId="23" xfId="0" applyFont="1" applyFill="1" applyBorder="1" applyAlignment="1">
      <alignment horizontal="center"/>
    </xf>
    <xf numFmtId="0" fontId="38" fillId="13" borderId="62" xfId="0" applyFont="1" applyFill="1" applyBorder="1" applyAlignment="1">
      <alignment horizontal="center"/>
    </xf>
    <xf numFmtId="10" fontId="36" fillId="0" borderId="64" xfId="0" applyNumberFormat="1" applyFont="1" applyBorder="1" applyAlignment="1"/>
    <xf numFmtId="0" fontId="36" fillId="0" borderId="64" xfId="0" applyFont="1" applyBorder="1"/>
    <xf numFmtId="0" fontId="12" fillId="13" borderId="65" xfId="0" applyFont="1" applyFill="1" applyBorder="1"/>
    <xf numFmtId="0" fontId="12" fillId="13" borderId="24" xfId="0" applyFont="1" applyFill="1" applyBorder="1"/>
    <xf numFmtId="10" fontId="12" fillId="13" borderId="24" xfId="1" applyNumberFormat="1" applyFont="1" applyFill="1" applyBorder="1"/>
    <xf numFmtId="10" fontId="38" fillId="13" borderId="66" xfId="1" applyNumberFormat="1" applyFont="1" applyFill="1" applyBorder="1"/>
    <xf numFmtId="0" fontId="11" fillId="13" borderId="23" xfId="0" applyFont="1" applyFill="1" applyBorder="1"/>
    <xf numFmtId="0" fontId="11" fillId="13" borderId="24" xfId="0" applyFont="1" applyFill="1" applyBorder="1"/>
    <xf numFmtId="0" fontId="9" fillId="3" borderId="23" xfId="0" applyFont="1" applyFill="1" applyBorder="1" applyAlignment="1">
      <alignment horizontal="center"/>
    </xf>
    <xf numFmtId="0" fontId="9" fillId="3" borderId="62" xfId="0" applyFont="1" applyFill="1" applyBorder="1" applyAlignment="1">
      <alignment horizontal="center"/>
    </xf>
    <xf numFmtId="10" fontId="9" fillId="3" borderId="64" xfId="1" applyNumberFormat="1" applyFont="1" applyFill="1" applyBorder="1"/>
    <xf numFmtId="0" fontId="9" fillId="3" borderId="24" xfId="0" applyFont="1" applyFill="1" applyBorder="1"/>
    <xf numFmtId="10" fontId="9" fillId="3" borderId="24" xfId="1" applyNumberFormat="1" applyFont="1" applyFill="1" applyBorder="1" applyAlignment="1">
      <alignment horizontal="center"/>
    </xf>
    <xf numFmtId="0" fontId="12" fillId="0" borderId="61" xfId="0" applyFont="1" applyBorder="1"/>
    <xf numFmtId="0" fontId="12" fillId="0" borderId="23" xfId="0" applyFont="1" applyBorder="1" applyAlignment="1">
      <alignment horizontal="center"/>
    </xf>
    <xf numFmtId="10" fontId="36" fillId="0" borderId="0" xfId="0" applyNumberFormat="1" applyFont="1" applyAlignment="1">
      <alignment horizontal="center"/>
    </xf>
    <xf numFmtId="0" fontId="36" fillId="0" borderId="0" xfId="0" applyFont="1" applyAlignment="1">
      <alignment horizontal="center"/>
    </xf>
    <xf numFmtId="168" fontId="11" fillId="0" borderId="64" xfId="0" applyNumberFormat="1" applyFont="1" applyBorder="1"/>
    <xf numFmtId="168" fontId="11" fillId="0" borderId="24" xfId="0" applyNumberFormat="1" applyFont="1" applyBorder="1"/>
    <xf numFmtId="168" fontId="11" fillId="0" borderId="66" xfId="0" applyNumberFormat="1" applyFont="1" applyBorder="1"/>
    <xf numFmtId="0" fontId="11" fillId="0" borderId="67" xfId="0" quotePrefix="1" applyFont="1" applyBorder="1"/>
    <xf numFmtId="168" fontId="7" fillId="0" borderId="0" xfId="0" applyNumberFormat="1" applyFont="1" applyFill="1"/>
    <xf numFmtId="0" fontId="8" fillId="0" borderId="69" xfId="0" applyFont="1" applyBorder="1"/>
    <xf numFmtId="0" fontId="8" fillId="0" borderId="70" xfId="0" applyFont="1" applyBorder="1"/>
    <xf numFmtId="0" fontId="8" fillId="0" borderId="71" xfId="0" applyFont="1" applyBorder="1"/>
    <xf numFmtId="0" fontId="8" fillId="0" borderId="72" xfId="0" applyFont="1" applyBorder="1"/>
    <xf numFmtId="0" fontId="8" fillId="0" borderId="73" xfId="0" applyFont="1" applyBorder="1"/>
    <xf numFmtId="0" fontId="8" fillId="0" borderId="74" xfId="0" applyFont="1" applyBorder="1"/>
    <xf numFmtId="0" fontId="11" fillId="0" borderId="70" xfId="0" applyFont="1" applyBorder="1"/>
    <xf numFmtId="0" fontId="11" fillId="0" borderId="71" xfId="0" applyFont="1" applyBorder="1"/>
    <xf numFmtId="0" fontId="11" fillId="0" borderId="73" xfId="0" applyFont="1" applyBorder="1"/>
    <xf numFmtId="0" fontId="11" fillId="0" borderId="74" xfId="0" applyFont="1" applyBorder="1"/>
    <xf numFmtId="9" fontId="8" fillId="0" borderId="0" xfId="0" applyNumberFormat="1" applyFont="1"/>
    <xf numFmtId="0" fontId="12" fillId="0" borderId="0" xfId="0" applyFont="1" applyBorder="1"/>
    <xf numFmtId="0" fontId="9" fillId="3" borderId="63" xfId="0" applyFont="1" applyFill="1" applyBorder="1" applyAlignment="1">
      <alignment horizontal="center" vertical="center" wrapText="1"/>
    </xf>
    <xf numFmtId="0" fontId="9" fillId="3" borderId="65" xfId="0" applyFont="1" applyFill="1" applyBorder="1" applyAlignment="1">
      <alignment horizontal="center" vertical="center" wrapText="1"/>
    </xf>
    <xf numFmtId="0" fontId="0" fillId="0" borderId="24" xfId="0" applyFill="1" applyBorder="1" applyAlignment="1">
      <alignment horizontal="center"/>
    </xf>
    <xf numFmtId="0" fontId="12" fillId="0" borderId="19" xfId="0" applyFont="1" applyBorder="1" applyAlignment="1">
      <alignment horizontal="center"/>
    </xf>
    <xf numFmtId="0" fontId="12" fillId="0" borderId="14" xfId="0" applyFont="1" applyBorder="1" applyAlignment="1">
      <alignment horizontal="center"/>
    </xf>
    <xf numFmtId="0" fontId="9" fillId="3" borderId="14" xfId="0" applyFont="1" applyFill="1" applyBorder="1" applyAlignment="1">
      <alignment horizontal="center"/>
    </xf>
    <xf numFmtId="0" fontId="9" fillId="3" borderId="20" xfId="0" applyFont="1" applyFill="1" applyBorder="1" applyAlignment="1">
      <alignment horizontal="center"/>
    </xf>
    <xf numFmtId="0" fontId="9" fillId="3" borderId="67" xfId="0" applyFont="1" applyFill="1" applyBorder="1" applyAlignment="1">
      <alignment horizontal="center" vertical="center" wrapText="1"/>
    </xf>
    <xf numFmtId="0" fontId="9" fillId="3" borderId="21" xfId="0" applyFont="1" applyFill="1" applyBorder="1" applyAlignment="1">
      <alignment horizontal="center" vertical="center" wrapText="1"/>
    </xf>
    <xf numFmtId="168" fontId="11" fillId="0" borderId="0" xfId="0" applyNumberFormat="1" applyFont="1" applyAlignment="1">
      <alignment horizontal="center"/>
    </xf>
    <xf numFmtId="0" fontId="16" fillId="10" borderId="37" xfId="3" applyFont="1" applyFill="1" applyBorder="1" applyAlignment="1">
      <alignment horizontal="center" vertical="center" wrapText="1"/>
    </xf>
    <xf numFmtId="0" fontId="16" fillId="10" borderId="29" xfId="3" applyFont="1" applyFill="1" applyBorder="1" applyAlignment="1">
      <alignment horizontal="center" vertical="center" wrapText="1"/>
    </xf>
    <xf numFmtId="0" fontId="16" fillId="10" borderId="38" xfId="3" applyFont="1" applyFill="1" applyBorder="1" applyAlignment="1">
      <alignment horizontal="center" vertical="center" wrapText="1"/>
    </xf>
    <xf numFmtId="0" fontId="16" fillId="10" borderId="31" xfId="3" applyFont="1" applyFill="1" applyBorder="1" applyAlignment="1">
      <alignment horizontal="center" vertical="center" wrapText="1"/>
    </xf>
    <xf numFmtId="0" fontId="16" fillId="10" borderId="30" xfId="3" applyFont="1" applyFill="1" applyBorder="1" applyAlignment="1">
      <alignment horizontal="center" vertical="center" wrapText="1"/>
    </xf>
    <xf numFmtId="0" fontId="16" fillId="10" borderId="33" xfId="3" applyFont="1" applyFill="1" applyBorder="1" applyAlignment="1">
      <alignment horizontal="center" vertical="center" wrapText="1"/>
    </xf>
    <xf numFmtId="0" fontId="16" fillId="0" borderId="0" xfId="3" applyFont="1" applyFill="1" applyBorder="1" applyAlignment="1">
      <alignment horizontal="center" vertical="center"/>
    </xf>
    <xf numFmtId="0" fontId="16" fillId="10" borderId="37" xfId="3" applyFont="1" applyFill="1" applyBorder="1" applyAlignment="1">
      <alignment horizontal="center" vertical="center"/>
    </xf>
    <xf numFmtId="0" fontId="16" fillId="10" borderId="29" xfId="3" applyFont="1" applyFill="1" applyBorder="1" applyAlignment="1">
      <alignment horizontal="center" vertical="center"/>
    </xf>
    <xf numFmtId="0" fontId="16" fillId="10" borderId="38" xfId="3" applyFont="1" applyFill="1" applyBorder="1" applyAlignment="1">
      <alignment horizontal="center" vertical="center"/>
    </xf>
    <xf numFmtId="0" fontId="15" fillId="0" borderId="30" xfId="3" applyBorder="1" applyAlignment="1">
      <alignment horizontal="center" vertical="center" wrapText="1"/>
    </xf>
  </cellXfs>
  <cellStyles count="7">
    <cellStyle name="Euro" xfId="6"/>
    <cellStyle name="Milliers" xfId="2" builtinId="3"/>
    <cellStyle name="Normal" xfId="0" builtinId="0"/>
    <cellStyle name="Normal 2" xfId="3"/>
    <cellStyle name="Normal_TRUCS1" xfId="5"/>
    <cellStyle name="Pourcentage" xfId="1" builtinId="5"/>
    <cellStyle name="Pourcentage 2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452437</xdr:colOff>
      <xdr:row>9</xdr:row>
      <xdr:rowOff>130968</xdr:rowOff>
    </xdr:from>
    <xdr:ext cx="1540806" cy="264560"/>
    <xdr:sp macro="" textlink="">
      <xdr:nvSpPr>
        <xdr:cNvPr id="2" name="ZoneTexte 1"/>
        <xdr:cNvSpPr txBox="1"/>
      </xdr:nvSpPr>
      <xdr:spPr>
        <a:xfrm>
          <a:off x="9429750" y="1726406"/>
          <a:ext cx="154080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FR" sz="1100" b="1">
              <a:solidFill>
                <a:srgbClr val="FF0000"/>
              </a:solidFill>
            </a:rPr>
            <a:t>Comptes sociaux Séolis</a:t>
          </a: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FV%20Finance/Haya%20Energy%20Solutions/Alice/Elements%20re&#231;us/ZZBP%20r-actualis-%2015102010%20V0c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amètres"/>
      <sheetName val="BZP ss remb anticipé"/>
      <sheetName val="emprunt bzp1"/>
      <sheetName val="BZP avec remb anticipé"/>
      <sheetName val="emprunt bzp2"/>
      <sheetName val="Mensualisé"/>
      <sheetName val="BZP avec remb anticipé (4,97)"/>
      <sheetName val="Mensualisé 4,97"/>
      <sheetName val="BZP avec remb ant4,97 puis 5,5"/>
      <sheetName val="emprunt bzp2 (4,97)"/>
    </sheetNames>
    <sheetDataSet>
      <sheetData sheetId="0"/>
      <sheetData sheetId="1"/>
      <sheetData sheetId="2"/>
      <sheetData sheetId="3">
        <row r="47">
          <cell r="G47">
            <v>15315000</v>
          </cell>
          <cell r="H47">
            <v>20420000</v>
          </cell>
          <cell r="I47">
            <v>20420000</v>
          </cell>
        </row>
      </sheetData>
      <sheetData sheetId="4"/>
      <sheetData sheetId="5"/>
      <sheetData sheetId="6">
        <row r="78">
          <cell r="Y78">
            <v>0</v>
          </cell>
          <cell r="Z78">
            <v>0</v>
          </cell>
          <cell r="AA78">
            <v>0</v>
          </cell>
        </row>
        <row r="88">
          <cell r="H88">
            <v>4.9700000000000001E-2</v>
          </cell>
        </row>
      </sheetData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4:AB203"/>
  <sheetViews>
    <sheetView topLeftCell="A154" zoomScale="80" zoomScaleNormal="80" workbookViewId="0">
      <selection activeCell="B200" sqref="B200"/>
    </sheetView>
  </sheetViews>
  <sheetFormatPr baseColWidth="10" defaultRowHeight="15" outlineLevelRow="1" x14ac:dyDescent="0.25"/>
  <cols>
    <col min="1" max="1" width="2.85546875" customWidth="1"/>
    <col min="2" max="2" width="49.28515625" customWidth="1"/>
    <col min="3" max="3" width="11.28515625" customWidth="1"/>
    <col min="4" max="4" width="11.42578125" style="14"/>
    <col min="5" max="5" width="1" style="14" customWidth="1"/>
    <col min="6" max="6" width="11.42578125" style="14"/>
    <col min="7" max="7" width="1" style="1" customWidth="1"/>
    <col min="8" max="8" width="11.5703125" style="1" customWidth="1"/>
    <col min="10" max="10" width="11.7109375" bestFit="1" customWidth="1"/>
  </cols>
  <sheetData>
    <row r="4" spans="2:14" x14ac:dyDescent="0.25">
      <c r="C4" s="45" t="s">
        <v>113</v>
      </c>
      <c r="D4" s="37" t="s">
        <v>113</v>
      </c>
      <c r="E4" s="37"/>
      <c r="F4" s="37"/>
    </row>
    <row r="5" spans="2:14" s="11" customFormat="1" x14ac:dyDescent="0.25">
      <c r="B5" s="9" t="s">
        <v>114</v>
      </c>
      <c r="C5" s="10">
        <v>39629</v>
      </c>
      <c r="D5" s="15">
        <v>39813</v>
      </c>
      <c r="E5" s="15"/>
      <c r="F5" s="15">
        <v>39813</v>
      </c>
      <c r="G5" s="10"/>
      <c r="H5" s="10">
        <v>40178</v>
      </c>
      <c r="J5" s="11">
        <v>40543</v>
      </c>
      <c r="K5" s="11">
        <v>40908</v>
      </c>
    </row>
    <row r="6" spans="2:14" ht="5.25" customHeight="1" x14ac:dyDescent="0.25">
      <c r="B6" s="2"/>
      <c r="C6" s="2"/>
      <c r="D6" s="16"/>
      <c r="E6" s="16"/>
      <c r="F6" s="16"/>
      <c r="G6" s="3"/>
      <c r="H6" s="3"/>
    </row>
    <row r="7" spans="2:14" ht="15" hidden="1" customHeight="1" outlineLevel="1" x14ac:dyDescent="0.25">
      <c r="B7" s="49" t="s">
        <v>156</v>
      </c>
      <c r="C7" s="51"/>
      <c r="D7" s="52">
        <v>59.207999999999998</v>
      </c>
      <c r="E7" s="52"/>
      <c r="F7" s="52"/>
      <c r="G7" s="52"/>
      <c r="H7" s="52">
        <v>124.809</v>
      </c>
      <c r="I7" s="53">
        <f>+H7/(D7*2)-1</f>
        <v>5.3987636805836958E-2</v>
      </c>
      <c r="J7" s="12"/>
      <c r="K7" s="12">
        <v>141.9</v>
      </c>
      <c r="L7" s="12">
        <f>+K7/H7</f>
        <v>1.1369372401028772</v>
      </c>
      <c r="M7" s="12">
        <f>+SQRT(L7)</f>
        <v>1.0662725918370393</v>
      </c>
      <c r="N7" s="12"/>
    </row>
    <row r="8" spans="2:14" ht="15" hidden="1" customHeight="1" outlineLevel="1" x14ac:dyDescent="0.25">
      <c r="B8" s="49" t="s">
        <v>157</v>
      </c>
      <c r="C8" s="51"/>
      <c r="D8" s="52">
        <v>0.30599999999999999</v>
      </c>
      <c r="E8" s="52"/>
      <c r="F8" s="52"/>
      <c r="G8" s="52"/>
      <c r="H8" s="52">
        <v>0.85899999999999999</v>
      </c>
      <c r="I8" s="53">
        <f t="shared" ref="I8:I14" si="0">+H8/(D8*2)-1</f>
        <v>0.40359477124182996</v>
      </c>
      <c r="J8" s="12"/>
      <c r="K8" s="12">
        <v>1.6970000000000001</v>
      </c>
      <c r="L8" s="12"/>
      <c r="M8" s="12"/>
      <c r="N8" s="12"/>
    </row>
    <row r="9" spans="2:14" ht="15" hidden="1" customHeight="1" outlineLevel="1" x14ac:dyDescent="0.25">
      <c r="B9" s="49" t="s">
        <v>158</v>
      </c>
      <c r="C9" s="51"/>
      <c r="D9" s="52">
        <v>0.36899999999999999</v>
      </c>
      <c r="E9" s="52"/>
      <c r="F9" s="52"/>
      <c r="G9" s="52"/>
      <c r="H9" s="52">
        <v>0.26700000000000002</v>
      </c>
      <c r="I9" s="53">
        <f t="shared" si="0"/>
        <v>-0.63821138211382111</v>
      </c>
      <c r="J9" s="12"/>
      <c r="K9" s="12">
        <v>0.6</v>
      </c>
      <c r="L9" s="12"/>
      <c r="M9" s="12"/>
      <c r="N9" s="12"/>
    </row>
    <row r="10" spans="2:14" ht="15" hidden="1" customHeight="1" outlineLevel="1" x14ac:dyDescent="0.25">
      <c r="B10" s="49" t="s">
        <v>159</v>
      </c>
      <c r="C10" s="51"/>
      <c r="D10" s="52">
        <v>7.7240000000000002</v>
      </c>
      <c r="E10" s="52"/>
      <c r="F10" s="52"/>
      <c r="G10" s="52"/>
      <c r="H10" s="52">
        <v>31.981000000000002</v>
      </c>
      <c r="I10" s="53">
        <f t="shared" si="0"/>
        <v>1.0702356292076645</v>
      </c>
      <c r="J10" s="12"/>
      <c r="K10" s="12">
        <v>44.4</v>
      </c>
      <c r="L10" s="12"/>
      <c r="M10" s="12"/>
      <c r="N10" s="12"/>
    </row>
    <row r="11" spans="2:14" ht="15" hidden="1" customHeight="1" outlineLevel="1" x14ac:dyDescent="0.25">
      <c r="B11" s="49" t="s">
        <v>161</v>
      </c>
      <c r="C11" s="51"/>
      <c r="D11" s="52">
        <v>8.6880000000000006</v>
      </c>
      <c r="E11" s="52"/>
      <c r="F11" s="52"/>
      <c r="G11" s="52"/>
      <c r="H11" s="52">
        <v>16.417000000000002</v>
      </c>
      <c r="I11" s="53">
        <f t="shared" si="0"/>
        <v>-5.5191068139963106E-2</v>
      </c>
      <c r="J11" s="12"/>
      <c r="K11" s="12">
        <f>12.8+5</f>
        <v>17.8</v>
      </c>
      <c r="L11" s="12"/>
      <c r="M11" s="12"/>
      <c r="N11" s="12"/>
    </row>
    <row r="12" spans="2:14" ht="15" hidden="1" customHeight="1" outlineLevel="1" x14ac:dyDescent="0.25">
      <c r="B12" s="49" t="s">
        <v>160</v>
      </c>
      <c r="C12" s="51"/>
      <c r="D12" s="52">
        <v>0</v>
      </c>
      <c r="E12" s="52"/>
      <c r="F12" s="52"/>
      <c r="G12" s="52"/>
      <c r="H12" s="52">
        <v>2.3260000000000001</v>
      </c>
      <c r="I12" s="53">
        <v>0</v>
      </c>
      <c r="J12" s="12"/>
      <c r="K12" s="12">
        <f>0.4+0.4</f>
        <v>0.8</v>
      </c>
      <c r="L12" s="12"/>
      <c r="M12" s="12"/>
      <c r="N12" s="12"/>
    </row>
    <row r="13" spans="2:14" ht="15" hidden="1" customHeight="1" outlineLevel="1" x14ac:dyDescent="0.25">
      <c r="B13" s="49" t="s">
        <v>162</v>
      </c>
      <c r="C13" s="51"/>
      <c r="D13" s="52">
        <v>0.45400000000000001</v>
      </c>
      <c r="E13" s="52"/>
      <c r="F13" s="52"/>
      <c r="G13" s="52"/>
      <c r="H13" s="52">
        <v>0.71799999999999997</v>
      </c>
      <c r="I13" s="53">
        <f t="shared" si="0"/>
        <v>-0.20925110132158597</v>
      </c>
      <c r="J13" s="54"/>
      <c r="K13" s="12">
        <v>0.9</v>
      </c>
      <c r="L13" s="12"/>
      <c r="M13" s="12"/>
      <c r="N13" s="12"/>
    </row>
    <row r="14" spans="2:14" ht="15" hidden="1" customHeight="1" outlineLevel="1" x14ac:dyDescent="0.25">
      <c r="B14" s="49" t="s">
        <v>163</v>
      </c>
      <c r="C14" s="51"/>
      <c r="D14" s="52">
        <v>0.13700000000000001</v>
      </c>
      <c r="E14" s="52"/>
      <c r="F14" s="52"/>
      <c r="G14" s="52"/>
      <c r="H14" s="52">
        <v>0.374</v>
      </c>
      <c r="I14" s="53">
        <f t="shared" si="0"/>
        <v>0.36496350364963503</v>
      </c>
      <c r="J14" s="12"/>
      <c r="K14" s="12">
        <v>0</v>
      </c>
      <c r="L14" s="12"/>
      <c r="M14" s="12"/>
      <c r="N14" s="12"/>
    </row>
    <row r="15" spans="2:14" ht="15" hidden="1" customHeight="1" outlineLevel="1" x14ac:dyDescent="0.25">
      <c r="B15" s="50" t="s">
        <v>164</v>
      </c>
      <c r="C15" s="55"/>
      <c r="D15" s="56">
        <v>-11.084</v>
      </c>
      <c r="E15" s="56"/>
      <c r="F15" s="56"/>
      <c r="G15" s="56"/>
      <c r="H15" s="56">
        <v>-16.454999999999998</v>
      </c>
      <c r="I15" s="57"/>
      <c r="J15" s="12"/>
      <c r="K15" s="12"/>
      <c r="L15" s="12"/>
      <c r="M15" s="12"/>
      <c r="N15" s="12"/>
    </row>
    <row r="16" spans="2:14" collapsed="1" x14ac:dyDescent="0.25">
      <c r="B16" t="s">
        <v>0</v>
      </c>
      <c r="C16">
        <v>65.775999999999996</v>
      </c>
      <c r="D16" s="14">
        <f>SUM(D7:D15)</f>
        <v>65.801999999999992</v>
      </c>
      <c r="F16" s="14">
        <f>+C16+D16</f>
        <v>131.57799999999997</v>
      </c>
      <c r="H16" s="1">
        <f>SUM(H7:H15)</f>
        <v>161.29599999999999</v>
      </c>
      <c r="I16" s="48">
        <f>+H16/F16-1</f>
        <v>0.22585842618066865</v>
      </c>
    </row>
    <row r="17" spans="2:12" x14ac:dyDescent="0.25">
      <c r="B17" t="s">
        <v>1</v>
      </c>
      <c r="D17" s="14">
        <v>0</v>
      </c>
      <c r="F17" s="14">
        <f t="shared" ref="F17:F18" si="1">+C17+D17</f>
        <v>0</v>
      </c>
      <c r="H17" s="1">
        <v>0</v>
      </c>
    </row>
    <row r="18" spans="2:12" x14ac:dyDescent="0.25">
      <c r="B18" t="s">
        <v>2</v>
      </c>
      <c r="D18" s="14">
        <v>0</v>
      </c>
      <c r="F18" s="14">
        <f t="shared" si="1"/>
        <v>0</v>
      </c>
      <c r="H18" s="1">
        <v>0</v>
      </c>
    </row>
    <row r="19" spans="2:12" x14ac:dyDescent="0.25">
      <c r="B19" s="2" t="s">
        <v>3</v>
      </c>
      <c r="C19" s="16">
        <f>SUM(C16:C18)</f>
        <v>65.775999999999996</v>
      </c>
      <c r="D19" s="16">
        <f>SUM(D16:D18)</f>
        <v>65.801999999999992</v>
      </c>
      <c r="E19" s="16"/>
      <c r="F19" s="16">
        <f>SUM(F16:F18)</f>
        <v>131.57799999999997</v>
      </c>
      <c r="G19" s="3"/>
      <c r="H19" s="3">
        <f>SUM(H16:H18)</f>
        <v>161.29599999999999</v>
      </c>
      <c r="J19" s="33"/>
    </row>
    <row r="21" spans="2:12" x14ac:dyDescent="0.25">
      <c r="B21" t="s">
        <v>6</v>
      </c>
      <c r="D21" s="14">
        <v>0</v>
      </c>
      <c r="F21" s="14">
        <f>+D21+C21</f>
        <v>0</v>
      </c>
      <c r="H21" s="1">
        <v>0</v>
      </c>
    </row>
    <row r="22" spans="2:12" x14ac:dyDescent="0.25">
      <c r="B22" t="s">
        <v>7</v>
      </c>
      <c r="D22" s="14">
        <v>0</v>
      </c>
      <c r="F22" s="14">
        <f t="shared" ref="F22:F25" si="2">+D22+C22</f>
        <v>0</v>
      </c>
      <c r="H22" s="1">
        <v>0</v>
      </c>
    </row>
    <row r="23" spans="2:12" x14ac:dyDescent="0.25">
      <c r="B23" t="s">
        <v>8</v>
      </c>
      <c r="D23" s="14">
        <v>0</v>
      </c>
      <c r="F23" s="14">
        <f t="shared" si="2"/>
        <v>0</v>
      </c>
      <c r="H23" s="1">
        <v>0</v>
      </c>
    </row>
    <row r="24" spans="2:12" x14ac:dyDescent="0.25">
      <c r="B24" t="s">
        <v>9</v>
      </c>
      <c r="D24" s="14">
        <v>0</v>
      </c>
      <c r="F24" s="14">
        <f t="shared" si="2"/>
        <v>0</v>
      </c>
      <c r="H24" s="1">
        <v>0</v>
      </c>
    </row>
    <row r="25" spans="2:12" x14ac:dyDescent="0.25">
      <c r="B25" t="s">
        <v>10</v>
      </c>
      <c r="C25">
        <v>6.7279999999999998</v>
      </c>
      <c r="D25" s="14">
        <v>13.327</v>
      </c>
      <c r="F25" s="14">
        <f t="shared" si="2"/>
        <v>20.055</v>
      </c>
      <c r="H25" s="1">
        <v>9.9220000000000006</v>
      </c>
    </row>
    <row r="27" spans="2:12" x14ac:dyDescent="0.25">
      <c r="B27" s="5" t="s">
        <v>11</v>
      </c>
      <c r="C27" s="46">
        <f>SUM(C21:C25)+C19</f>
        <v>72.503999999999991</v>
      </c>
      <c r="D27" s="17">
        <f>SUM(D21:D25)+D19</f>
        <v>79.128999999999991</v>
      </c>
      <c r="E27" s="17"/>
      <c r="F27" s="17">
        <f>SUM(F21:F25)+F19</f>
        <v>151.63299999999998</v>
      </c>
      <c r="G27" s="6"/>
      <c r="H27" s="17">
        <f t="shared" ref="H27" si="3">SUM(H21:H25)+H19</f>
        <v>171.21799999999999</v>
      </c>
      <c r="J27" s="1"/>
      <c r="K27" s="1"/>
      <c r="L27" s="1"/>
    </row>
    <row r="28" spans="2:12" x14ac:dyDescent="0.25">
      <c r="H28" s="14"/>
    </row>
    <row r="29" spans="2:12" x14ac:dyDescent="0.25">
      <c r="B29" t="s">
        <v>12</v>
      </c>
      <c r="C29">
        <v>35.978999999999999</v>
      </c>
      <c r="D29" s="14">
        <v>48.542000000000002</v>
      </c>
      <c r="F29" s="14">
        <f>+C29+D29</f>
        <v>84.521000000000001</v>
      </c>
      <c r="H29" s="14">
        <v>106.51900000000001</v>
      </c>
      <c r="J29" s="48"/>
      <c r="K29" s="48"/>
      <c r="L29" s="48"/>
    </row>
    <row r="30" spans="2:12" x14ac:dyDescent="0.25">
      <c r="B30" t="s">
        <v>13</v>
      </c>
      <c r="D30" s="14">
        <v>0</v>
      </c>
      <c r="F30" s="14">
        <f t="shared" ref="F30:F38" si="4">+C30+D30</f>
        <v>0</v>
      </c>
      <c r="H30" s="14">
        <v>0</v>
      </c>
    </row>
    <row r="31" spans="2:12" x14ac:dyDescent="0.25">
      <c r="B31" t="s">
        <v>14</v>
      </c>
      <c r="D31" s="14">
        <v>0</v>
      </c>
      <c r="F31" s="14">
        <f t="shared" si="4"/>
        <v>0</v>
      </c>
      <c r="H31" s="14">
        <v>0</v>
      </c>
    </row>
    <row r="32" spans="2:12" x14ac:dyDescent="0.25">
      <c r="B32" t="s">
        <v>15</v>
      </c>
      <c r="D32" s="14">
        <v>0</v>
      </c>
      <c r="F32" s="14">
        <f t="shared" si="4"/>
        <v>0</v>
      </c>
      <c r="H32" s="14">
        <v>0</v>
      </c>
    </row>
    <row r="33" spans="2:9" x14ac:dyDescent="0.25">
      <c r="B33" t="s">
        <v>16</v>
      </c>
      <c r="D33" s="14">
        <v>0</v>
      </c>
      <c r="F33" s="14">
        <f t="shared" si="4"/>
        <v>0</v>
      </c>
      <c r="H33" s="14">
        <v>0</v>
      </c>
    </row>
    <row r="34" spans="2:9" x14ac:dyDescent="0.25">
      <c r="B34" t="s">
        <v>45</v>
      </c>
      <c r="D34" s="14">
        <v>0</v>
      </c>
      <c r="F34" s="14">
        <f t="shared" si="4"/>
        <v>0</v>
      </c>
      <c r="H34" s="14">
        <v>0</v>
      </c>
    </row>
    <row r="35" spans="2:9" x14ac:dyDescent="0.25">
      <c r="B35" t="s">
        <v>17</v>
      </c>
      <c r="C35">
        <v>1.4359999999999999</v>
      </c>
      <c r="D35" s="14">
        <v>1.3879999999999999</v>
      </c>
      <c r="F35" s="14">
        <f t="shared" si="4"/>
        <v>2.8239999999999998</v>
      </c>
      <c r="H35" s="14">
        <v>3.0630000000000002</v>
      </c>
    </row>
    <row r="36" spans="2:9" x14ac:dyDescent="0.25">
      <c r="B36" t="s">
        <v>18</v>
      </c>
      <c r="C36">
        <v>12.253</v>
      </c>
      <c r="D36" s="14">
        <v>10.364000000000001</v>
      </c>
      <c r="F36" s="14">
        <f t="shared" si="4"/>
        <v>22.617000000000001</v>
      </c>
      <c r="H36" s="14">
        <v>23.05</v>
      </c>
    </row>
    <row r="37" spans="2:9" x14ac:dyDescent="0.25">
      <c r="B37" t="s">
        <v>19</v>
      </c>
      <c r="D37" s="14">
        <v>0</v>
      </c>
      <c r="F37" s="14">
        <f t="shared" si="4"/>
        <v>0</v>
      </c>
      <c r="H37" s="14">
        <v>0</v>
      </c>
    </row>
    <row r="38" spans="2:9" x14ac:dyDescent="0.25">
      <c r="B38" t="s">
        <v>24</v>
      </c>
      <c r="C38">
        <v>6.6840000000000002</v>
      </c>
      <c r="D38" s="14">
        <v>6.2290000000000001</v>
      </c>
      <c r="F38" s="14">
        <f t="shared" si="4"/>
        <v>12.913</v>
      </c>
      <c r="H38" s="14">
        <v>13.975</v>
      </c>
    </row>
    <row r="39" spans="2:9" x14ac:dyDescent="0.25">
      <c r="H39" s="14">
        <v>0</v>
      </c>
    </row>
    <row r="40" spans="2:9" x14ac:dyDescent="0.25">
      <c r="B40" s="5" t="s">
        <v>25</v>
      </c>
      <c r="C40" s="46">
        <f>+C27-SUM(C29:C38)</f>
        <v>16.151999999999994</v>
      </c>
      <c r="D40" s="17">
        <f>+D27-SUM(D29:D38)</f>
        <v>12.605999999999995</v>
      </c>
      <c r="E40" s="17"/>
      <c r="F40" s="17">
        <f>+F27-SUM(F29:F38)</f>
        <v>28.757999999999981</v>
      </c>
      <c r="G40" s="6"/>
      <c r="H40" s="17">
        <f>+H27-SUM(H29:H38)</f>
        <v>24.61099999999999</v>
      </c>
      <c r="I40" s="1"/>
    </row>
    <row r="41" spans="2:9" x14ac:dyDescent="0.25">
      <c r="H41" s="14"/>
    </row>
    <row r="42" spans="2:9" x14ac:dyDescent="0.25">
      <c r="B42" t="s">
        <v>20</v>
      </c>
      <c r="C42">
        <v>9.8209999999999997</v>
      </c>
      <c r="D42" s="14">
        <v>8.6270000000000007</v>
      </c>
      <c r="F42" s="14">
        <f>+C42+D42</f>
        <v>18.448</v>
      </c>
      <c r="H42" s="14">
        <v>15.675000000000001</v>
      </c>
    </row>
    <row r="43" spans="2:9" x14ac:dyDescent="0.25">
      <c r="B43" t="s">
        <v>21</v>
      </c>
      <c r="D43" s="14">
        <v>0</v>
      </c>
      <c r="F43" s="14">
        <f t="shared" ref="F43:F45" si="5">+C43+D43</f>
        <v>0</v>
      </c>
      <c r="H43" s="14">
        <v>0</v>
      </c>
    </row>
    <row r="44" spans="2:9" x14ac:dyDescent="0.25">
      <c r="B44" t="s">
        <v>22</v>
      </c>
      <c r="D44" s="14">
        <v>0</v>
      </c>
      <c r="F44" s="14">
        <f t="shared" si="5"/>
        <v>0</v>
      </c>
      <c r="H44" s="14">
        <v>0</v>
      </c>
    </row>
    <row r="45" spans="2:9" x14ac:dyDescent="0.25">
      <c r="B45" t="s">
        <v>23</v>
      </c>
      <c r="D45" s="14">
        <v>0</v>
      </c>
      <c r="F45" s="14">
        <f t="shared" si="5"/>
        <v>0</v>
      </c>
      <c r="H45" s="14">
        <v>0</v>
      </c>
    </row>
    <row r="46" spans="2:9" x14ac:dyDescent="0.25">
      <c r="H46" s="14"/>
    </row>
    <row r="47" spans="2:9" x14ac:dyDescent="0.25">
      <c r="B47" s="5" t="s">
        <v>26</v>
      </c>
      <c r="C47" s="46">
        <f>+C40-SUM(C42:C45)</f>
        <v>6.3309999999999942</v>
      </c>
      <c r="D47" s="46">
        <f t="shared" ref="D47:H47" si="6">+D40-SUM(D42:D45)</f>
        <v>3.9789999999999939</v>
      </c>
      <c r="E47" s="17"/>
      <c r="F47" s="17">
        <f t="shared" si="6"/>
        <v>10.309999999999981</v>
      </c>
      <c r="G47" s="6"/>
      <c r="H47" s="17">
        <f t="shared" si="6"/>
        <v>8.9359999999999893</v>
      </c>
    </row>
    <row r="48" spans="2:9" x14ac:dyDescent="0.25">
      <c r="H48" s="14"/>
    </row>
    <row r="49" spans="2:8" x14ac:dyDescent="0.25">
      <c r="B49" t="s">
        <v>27</v>
      </c>
      <c r="C49">
        <v>1.0660000000000001</v>
      </c>
      <c r="D49" s="14">
        <v>1.24</v>
      </c>
      <c r="F49" s="14">
        <f>+C49+D49</f>
        <v>2.306</v>
      </c>
      <c r="H49" s="14">
        <v>0.93100000000000005</v>
      </c>
    </row>
    <row r="50" spans="2:8" ht="3.75" customHeight="1" x14ac:dyDescent="0.25">
      <c r="H50" s="14"/>
    </row>
    <row r="51" spans="2:8" x14ac:dyDescent="0.25">
      <c r="B51" t="s">
        <v>28</v>
      </c>
      <c r="C51">
        <v>-0.05</v>
      </c>
      <c r="D51" s="14">
        <v>0</v>
      </c>
      <c r="H51" s="14">
        <v>-0.05</v>
      </c>
    </row>
    <row r="52" spans="2:8" x14ac:dyDescent="0.25">
      <c r="B52" t="s">
        <v>29</v>
      </c>
      <c r="D52" s="14">
        <v>0</v>
      </c>
      <c r="H52" s="14">
        <v>0</v>
      </c>
    </row>
    <row r="53" spans="2:8" x14ac:dyDescent="0.25">
      <c r="B53" t="s">
        <v>30</v>
      </c>
      <c r="D53" s="14">
        <v>0</v>
      </c>
      <c r="H53" s="14">
        <v>0</v>
      </c>
    </row>
    <row r="54" spans="2:8" x14ac:dyDescent="0.25">
      <c r="B54" t="s">
        <v>31</v>
      </c>
      <c r="C54" s="14">
        <f>SUM(C51:C53)</f>
        <v>-0.05</v>
      </c>
      <c r="D54" s="14">
        <f>SUM(D51:D53)</f>
        <v>0</v>
      </c>
      <c r="F54" s="14">
        <f>SUM(F51:F53)</f>
        <v>0</v>
      </c>
      <c r="H54" s="14">
        <f t="shared" ref="H54" si="7">SUM(H51:H53)</f>
        <v>-0.05</v>
      </c>
    </row>
    <row r="55" spans="2:8" ht="3.75" customHeight="1" x14ac:dyDescent="0.25">
      <c r="H55" s="14"/>
    </row>
    <row r="56" spans="2:8" x14ac:dyDescent="0.25">
      <c r="B56" s="5" t="s">
        <v>32</v>
      </c>
      <c r="C56" s="17">
        <f>+C49-C54</f>
        <v>1.1160000000000001</v>
      </c>
      <c r="D56" s="17">
        <f t="shared" ref="D56:H56" si="8">+D49-D54</f>
        <v>1.24</v>
      </c>
      <c r="E56" s="17"/>
      <c r="F56" s="17">
        <f t="shared" si="8"/>
        <v>2.306</v>
      </c>
      <c r="G56" s="6"/>
      <c r="H56" s="17">
        <f t="shared" si="8"/>
        <v>0.98100000000000009</v>
      </c>
    </row>
    <row r="57" spans="2:8" x14ac:dyDescent="0.25">
      <c r="G57" s="14"/>
      <c r="H57" s="14"/>
    </row>
    <row r="58" spans="2:8" x14ac:dyDescent="0.25">
      <c r="B58" t="s">
        <v>38</v>
      </c>
      <c r="D58" s="14">
        <v>1.4</v>
      </c>
      <c r="G58" s="14"/>
      <c r="H58" s="14">
        <v>0.30299999999999999</v>
      </c>
    </row>
    <row r="59" spans="2:8" x14ac:dyDescent="0.25">
      <c r="B59" t="s">
        <v>39</v>
      </c>
      <c r="D59" s="14">
        <v>0</v>
      </c>
      <c r="G59" s="14"/>
      <c r="H59" s="14">
        <v>0</v>
      </c>
    </row>
    <row r="60" spans="2:8" x14ac:dyDescent="0.25">
      <c r="B60" t="s">
        <v>35</v>
      </c>
      <c r="C60" s="47">
        <v>4.7</v>
      </c>
      <c r="D60" s="14">
        <v>0</v>
      </c>
      <c r="G60" s="14"/>
      <c r="H60" s="14">
        <v>0</v>
      </c>
    </row>
    <row r="61" spans="2:8" x14ac:dyDescent="0.25">
      <c r="B61" t="s">
        <v>33</v>
      </c>
      <c r="C61" s="14">
        <f t="shared" ref="C61:H61" si="9">SUM(C58:C60)</f>
        <v>4.7</v>
      </c>
      <c r="D61" s="14">
        <f t="shared" si="9"/>
        <v>1.4</v>
      </c>
      <c r="F61" s="14">
        <f>+C61+D61</f>
        <v>6.1</v>
      </c>
      <c r="G61" s="14"/>
      <c r="H61" s="14">
        <f t="shared" si="9"/>
        <v>0.30299999999999999</v>
      </c>
    </row>
    <row r="62" spans="2:8" ht="3.75" customHeight="1" x14ac:dyDescent="0.25">
      <c r="G62" s="14"/>
      <c r="H62" s="14"/>
    </row>
    <row r="63" spans="2:8" x14ac:dyDescent="0.25">
      <c r="B63" t="s">
        <v>36</v>
      </c>
      <c r="C63">
        <v>4.6269999999999998</v>
      </c>
      <c r="D63" s="14">
        <v>0</v>
      </c>
      <c r="G63" s="14"/>
      <c r="H63" s="14">
        <v>0</v>
      </c>
    </row>
    <row r="64" spans="2:8" x14ac:dyDescent="0.25">
      <c r="B64" t="s">
        <v>37</v>
      </c>
      <c r="D64" s="14">
        <v>0</v>
      </c>
      <c r="G64" s="14"/>
      <c r="H64" s="14">
        <v>0</v>
      </c>
    </row>
    <row r="65" spans="2:12" x14ac:dyDescent="0.25">
      <c r="B65" t="s">
        <v>34</v>
      </c>
      <c r="D65" s="14">
        <v>0</v>
      </c>
      <c r="G65" s="14"/>
      <c r="H65" s="14">
        <v>1.2889999999999999</v>
      </c>
    </row>
    <row r="66" spans="2:12" x14ac:dyDescent="0.25">
      <c r="B66" t="s">
        <v>40</v>
      </c>
      <c r="C66" s="14">
        <f t="shared" ref="C66:H66" si="10">SUM(C63:C65)</f>
        <v>4.6269999999999998</v>
      </c>
      <c r="D66" s="14">
        <f t="shared" si="10"/>
        <v>0</v>
      </c>
      <c r="F66" s="14">
        <f>+C66+D66</f>
        <v>4.6269999999999998</v>
      </c>
      <c r="G66" s="14"/>
      <c r="H66" s="14">
        <f t="shared" si="10"/>
        <v>1.2889999999999999</v>
      </c>
    </row>
    <row r="67" spans="2:12" ht="3.75" customHeight="1" x14ac:dyDescent="0.25">
      <c r="G67" s="14"/>
      <c r="H67" s="14"/>
    </row>
    <row r="68" spans="2:12" x14ac:dyDescent="0.25">
      <c r="B68" s="5" t="s">
        <v>41</v>
      </c>
      <c r="C68" s="46">
        <f t="shared" ref="C68:H68" si="11">+C61-C66</f>
        <v>7.3000000000000398E-2</v>
      </c>
      <c r="D68" s="17">
        <f t="shared" si="11"/>
        <v>1.4</v>
      </c>
      <c r="E68" s="17"/>
      <c r="F68" s="17">
        <f t="shared" si="11"/>
        <v>1.4729999999999999</v>
      </c>
      <c r="G68" s="17"/>
      <c r="H68" s="17">
        <f t="shared" si="11"/>
        <v>-0.98599999999999999</v>
      </c>
    </row>
    <row r="69" spans="2:12" x14ac:dyDescent="0.25">
      <c r="G69" s="14"/>
      <c r="H69" s="14"/>
    </row>
    <row r="70" spans="2:12" x14ac:dyDescent="0.25">
      <c r="B70" s="5" t="s">
        <v>42</v>
      </c>
      <c r="C70" s="46">
        <f>+C47+C56+C68</f>
        <v>7.5199999999999942</v>
      </c>
      <c r="D70" s="46">
        <f>+D47+D56+D68</f>
        <v>6.6189999999999944</v>
      </c>
      <c r="E70" s="17"/>
      <c r="F70" s="17"/>
      <c r="G70" s="17"/>
      <c r="H70" s="17">
        <f t="shared" ref="H70" si="12">+H47+H56+H68</f>
        <v>8.9309999999999885</v>
      </c>
    </row>
    <row r="71" spans="2:12" x14ac:dyDescent="0.25">
      <c r="G71" s="14"/>
      <c r="H71" s="14"/>
    </row>
    <row r="72" spans="2:12" x14ac:dyDescent="0.25">
      <c r="B72" t="s">
        <v>46</v>
      </c>
      <c r="D72" s="14">
        <v>0</v>
      </c>
      <c r="G72" s="14"/>
      <c r="H72" s="14">
        <v>0</v>
      </c>
    </row>
    <row r="73" spans="2:12" x14ac:dyDescent="0.25">
      <c r="B73" t="s">
        <v>43</v>
      </c>
      <c r="C73">
        <v>2.4900000000000002</v>
      </c>
      <c r="D73" s="14">
        <v>2.4590000000000001</v>
      </c>
      <c r="G73" s="14"/>
      <c r="H73" s="14">
        <v>3.1070000000000002</v>
      </c>
    </row>
    <row r="74" spans="2:12" x14ac:dyDescent="0.25">
      <c r="G74" s="14"/>
      <c r="H74" s="14"/>
      <c r="L74" s="1"/>
    </row>
    <row r="75" spans="2:12" x14ac:dyDescent="0.25">
      <c r="B75" s="5" t="s">
        <v>44</v>
      </c>
      <c r="C75" s="17">
        <f>+C70-C72-C73</f>
        <v>5.029999999999994</v>
      </c>
      <c r="D75" s="17">
        <f>+D70-D72-D73</f>
        <v>4.1599999999999948</v>
      </c>
      <c r="E75" s="17"/>
      <c r="F75" s="17"/>
      <c r="G75" s="17"/>
      <c r="H75" s="17">
        <f t="shared" ref="H75" si="13">+H70-H72-H73</f>
        <v>5.8239999999999883</v>
      </c>
    </row>
    <row r="76" spans="2:12" x14ac:dyDescent="0.25">
      <c r="G76" s="14"/>
      <c r="H76" s="14"/>
    </row>
    <row r="77" spans="2:12" x14ac:dyDescent="0.25">
      <c r="B77" t="s">
        <v>94</v>
      </c>
      <c r="G77" s="14"/>
      <c r="H77" s="14"/>
    </row>
    <row r="78" spans="2:12" x14ac:dyDescent="0.25">
      <c r="B78" t="s">
        <v>95</v>
      </c>
      <c r="D78" s="18"/>
      <c r="E78" s="18"/>
      <c r="F78" s="18"/>
      <c r="G78" s="18"/>
      <c r="H78" s="18">
        <f>+(H19/(D19*2))-1</f>
        <v>0.22561624266739622</v>
      </c>
    </row>
    <row r="79" spans="2:12" x14ac:dyDescent="0.25">
      <c r="B79" t="s">
        <v>96</v>
      </c>
      <c r="D79" s="18">
        <f>+(D19-D29-D30-D31-D32)/D19</f>
        <v>0.26230205768821607</v>
      </c>
      <c r="E79" s="18"/>
      <c r="F79" s="18"/>
      <c r="G79" s="18"/>
      <c r="H79" s="18">
        <f>+(H19-H29-H30-H31-H32)/H19</f>
        <v>0.33960544588830466</v>
      </c>
    </row>
    <row r="80" spans="2:12" x14ac:dyDescent="0.25">
      <c r="B80" t="s">
        <v>97</v>
      </c>
      <c r="D80" s="18">
        <f>+D33/D19</f>
        <v>0</v>
      </c>
      <c r="E80" s="18"/>
      <c r="F80" s="18"/>
      <c r="G80" s="18"/>
      <c r="H80" s="18">
        <f>+H33/H19</f>
        <v>0</v>
      </c>
    </row>
    <row r="81" spans="2:8" x14ac:dyDescent="0.25">
      <c r="B81" t="s">
        <v>98</v>
      </c>
      <c r="D81" s="18">
        <f>+(D36+D37)/D19</f>
        <v>0.15750281146469716</v>
      </c>
      <c r="E81" s="18"/>
      <c r="F81" s="18"/>
      <c r="G81" s="18"/>
      <c r="H81" s="18">
        <f>+(H36+H37)/H19</f>
        <v>0.14290496974506497</v>
      </c>
    </row>
    <row r="82" spans="2:8" x14ac:dyDescent="0.25">
      <c r="B82" t="s">
        <v>99</v>
      </c>
      <c r="D82" s="18">
        <f>+D40/D19</f>
        <v>0.1915747241725175</v>
      </c>
      <c r="E82" s="18"/>
      <c r="F82" s="18"/>
      <c r="G82" s="18"/>
      <c r="H82" s="18">
        <f>+H40/H19</f>
        <v>0.15258282908441617</v>
      </c>
    </row>
    <row r="83" spans="2:8" x14ac:dyDescent="0.25">
      <c r="B83" t="s">
        <v>100</v>
      </c>
      <c r="D83" s="18">
        <f>+D47/D27</f>
        <v>5.0284977694650436E-2</v>
      </c>
      <c r="E83" s="18"/>
      <c r="F83" s="18"/>
      <c r="G83" s="18"/>
      <c r="H83" s="18">
        <f>+H47/H27</f>
        <v>5.2190774334474117E-2</v>
      </c>
    </row>
    <row r="84" spans="2:8" x14ac:dyDescent="0.25">
      <c r="G84" s="14"/>
      <c r="H84" s="14"/>
    </row>
    <row r="85" spans="2:8" x14ac:dyDescent="0.25">
      <c r="G85" s="14"/>
      <c r="H85" s="14"/>
    </row>
    <row r="86" spans="2:8" s="20" customFormat="1" x14ac:dyDescent="0.25">
      <c r="D86" s="14"/>
      <c r="E86" s="14"/>
      <c r="F86" s="14"/>
      <c r="G86" s="14"/>
      <c r="H86" s="14"/>
    </row>
    <row r="87" spans="2:8" s="20" customFormat="1" x14ac:dyDescent="0.25">
      <c r="D87" s="14"/>
      <c r="E87" s="14"/>
      <c r="F87" s="14"/>
      <c r="G87" s="14"/>
      <c r="H87" s="14"/>
    </row>
    <row r="88" spans="2:8" s="26" customFormat="1" x14ac:dyDescent="0.25">
      <c r="B88" s="25" t="s">
        <v>124</v>
      </c>
      <c r="C88" s="15"/>
      <c r="D88" s="15">
        <f>+D5</f>
        <v>39813</v>
      </c>
      <c r="E88" s="15"/>
      <c r="F88" s="15"/>
      <c r="G88" s="15"/>
      <c r="H88" s="15">
        <f t="shared" ref="H88" si="14">+H5</f>
        <v>40178</v>
      </c>
    </row>
    <row r="89" spans="2:8" s="20" customFormat="1" x14ac:dyDescent="0.25">
      <c r="D89" s="22"/>
      <c r="E89" s="22"/>
      <c r="F89" s="22"/>
      <c r="G89" s="22"/>
      <c r="H89" s="22"/>
    </row>
    <row r="90" spans="2:8" s="20" customFormat="1" x14ac:dyDescent="0.25">
      <c r="B90" s="20" t="s">
        <v>47</v>
      </c>
      <c r="D90" s="22">
        <v>0</v>
      </c>
      <c r="E90" s="22"/>
      <c r="F90" s="22"/>
      <c r="G90" s="22"/>
      <c r="H90" s="22">
        <v>0</v>
      </c>
    </row>
    <row r="91" spans="2:8" s="20" customFormat="1" x14ac:dyDescent="0.25">
      <c r="B91" s="20" t="s">
        <v>48</v>
      </c>
      <c r="D91" s="22">
        <v>0</v>
      </c>
      <c r="E91" s="22"/>
      <c r="F91" s="22"/>
      <c r="G91" s="22"/>
      <c r="H91" s="22">
        <v>0</v>
      </c>
    </row>
    <row r="92" spans="2:8" s="20" customFormat="1" x14ac:dyDescent="0.25">
      <c r="B92" s="20" t="s">
        <v>49</v>
      </c>
      <c r="D92" s="14">
        <v>0.29499999999999998</v>
      </c>
      <c r="E92" s="14"/>
      <c r="F92" s="14"/>
      <c r="G92" s="14"/>
      <c r="H92" s="14">
        <v>0.52200000000000002</v>
      </c>
    </row>
    <row r="93" spans="2:8" s="20" customFormat="1" x14ac:dyDescent="0.25">
      <c r="B93" s="27" t="s">
        <v>50</v>
      </c>
      <c r="C93" s="27"/>
      <c r="D93" s="16">
        <f t="shared" ref="D93:H93" si="15">SUM(D90:D92)</f>
        <v>0.29499999999999998</v>
      </c>
      <c r="E93" s="16"/>
      <c r="F93" s="16"/>
      <c r="G93" s="16"/>
      <c r="H93" s="16">
        <f t="shared" si="15"/>
        <v>0.52200000000000002</v>
      </c>
    </row>
    <row r="94" spans="2:8" s="20" customFormat="1" x14ac:dyDescent="0.25">
      <c r="D94" s="14"/>
      <c r="E94" s="14"/>
      <c r="F94" s="14"/>
      <c r="G94" s="14"/>
      <c r="H94" s="14"/>
    </row>
    <row r="95" spans="2:8" s="20" customFormat="1" x14ac:dyDescent="0.25">
      <c r="B95" s="20" t="s">
        <v>51</v>
      </c>
      <c r="D95" s="14">
        <v>8.8999999999999996E-2</v>
      </c>
      <c r="E95" s="14"/>
      <c r="F95" s="14"/>
      <c r="G95" s="14"/>
      <c r="H95" s="14">
        <v>8.8999999999999996E-2</v>
      </c>
    </row>
    <row r="96" spans="2:8" s="20" customFormat="1" x14ac:dyDescent="0.25">
      <c r="B96" s="20" t="s">
        <v>52</v>
      </c>
      <c r="D96" s="14">
        <v>0.16500000000000001</v>
      </c>
      <c r="E96" s="14"/>
      <c r="F96" s="14"/>
      <c r="G96" s="14"/>
      <c r="H96" s="14">
        <v>0</v>
      </c>
    </row>
    <row r="97" spans="2:8" s="20" customFormat="1" x14ac:dyDescent="0.25">
      <c r="B97" s="20" t="s">
        <v>53</v>
      </c>
      <c r="D97" s="14">
        <v>0.54900000000000004</v>
      </c>
      <c r="E97" s="14"/>
      <c r="F97" s="14"/>
      <c r="G97" s="14"/>
      <c r="H97" s="14">
        <v>0.77400000000000002</v>
      </c>
    </row>
    <row r="98" spans="2:8" s="20" customFormat="1" x14ac:dyDescent="0.25">
      <c r="B98" s="20" t="s">
        <v>54</v>
      </c>
      <c r="D98" s="14">
        <v>1.2310000000000001</v>
      </c>
      <c r="E98" s="14"/>
      <c r="F98" s="14"/>
      <c r="G98" s="14"/>
      <c r="H98" s="14">
        <v>2.355</v>
      </c>
    </row>
    <row r="99" spans="2:8" s="20" customFormat="1" x14ac:dyDescent="0.25">
      <c r="B99" s="20" t="s">
        <v>101</v>
      </c>
      <c r="D99" s="14">
        <v>6.0279999999999996</v>
      </c>
      <c r="E99" s="14"/>
      <c r="F99" s="14"/>
      <c r="G99" s="14"/>
      <c r="H99" s="14">
        <v>10.032</v>
      </c>
    </row>
    <row r="100" spans="2:8" s="20" customFormat="1" x14ac:dyDescent="0.25">
      <c r="B100" s="20" t="s">
        <v>115</v>
      </c>
      <c r="D100" s="14">
        <v>303.28800000000001</v>
      </c>
      <c r="E100" s="14"/>
      <c r="F100" s="14"/>
      <c r="G100" s="14"/>
      <c r="H100" s="14">
        <v>290.30799999999999</v>
      </c>
    </row>
    <row r="101" spans="2:8" s="20" customFormat="1" x14ac:dyDescent="0.25">
      <c r="B101" s="20" t="s">
        <v>116</v>
      </c>
      <c r="D101" s="14">
        <v>23.893000000000001</v>
      </c>
      <c r="E101" s="14"/>
      <c r="F101" s="14"/>
      <c r="G101" s="14"/>
      <c r="H101" s="14">
        <v>14.628</v>
      </c>
    </row>
    <row r="102" spans="2:8" s="20" customFormat="1" x14ac:dyDescent="0.25">
      <c r="B102" s="20" t="s">
        <v>117</v>
      </c>
      <c r="D102" s="14">
        <v>7.2590000000000003</v>
      </c>
      <c r="E102" s="14"/>
      <c r="F102" s="14"/>
      <c r="G102" s="14"/>
      <c r="H102" s="14">
        <v>42.360999999999997</v>
      </c>
    </row>
    <row r="103" spans="2:8" s="20" customFormat="1" x14ac:dyDescent="0.25">
      <c r="B103" s="27" t="s">
        <v>55</v>
      </c>
      <c r="C103" s="27"/>
      <c r="D103" s="16">
        <f>SUM(D95:D102)</f>
        <v>342.50200000000007</v>
      </c>
      <c r="E103" s="16"/>
      <c r="F103" s="16"/>
      <c r="G103" s="16"/>
      <c r="H103" s="16">
        <f>SUM(H95:H102)</f>
        <v>360.54699999999997</v>
      </c>
    </row>
    <row r="104" spans="2:8" s="20" customFormat="1" x14ac:dyDescent="0.25">
      <c r="D104" s="28"/>
      <c r="E104" s="28"/>
      <c r="F104" s="28"/>
      <c r="G104" s="14"/>
      <c r="H104" s="14"/>
    </row>
    <row r="105" spans="2:8" s="20" customFormat="1" x14ac:dyDescent="0.25">
      <c r="B105" s="20" t="s">
        <v>118</v>
      </c>
      <c r="D105" s="14">
        <v>0</v>
      </c>
      <c r="E105" s="14"/>
      <c r="F105" s="14"/>
      <c r="G105" s="14"/>
      <c r="H105" s="14">
        <v>0.30499999999999999</v>
      </c>
    </row>
    <row r="106" spans="2:8" s="20" customFormat="1" x14ac:dyDescent="0.25">
      <c r="B106" s="20" t="s">
        <v>119</v>
      </c>
      <c r="D106" s="14">
        <v>0</v>
      </c>
      <c r="E106" s="14"/>
      <c r="F106" s="14"/>
      <c r="G106" s="14"/>
      <c r="H106" s="14">
        <v>0</v>
      </c>
    </row>
    <row r="107" spans="2:8" s="20" customFormat="1" x14ac:dyDescent="0.25">
      <c r="B107" s="20" t="s">
        <v>56</v>
      </c>
      <c r="D107" s="14">
        <v>0.70499999999999996</v>
      </c>
      <c r="E107" s="14"/>
      <c r="F107" s="14"/>
      <c r="G107" s="14"/>
      <c r="H107" s="14">
        <v>0.68100000000000005</v>
      </c>
    </row>
    <row r="108" spans="2:8" s="20" customFormat="1" x14ac:dyDescent="0.25">
      <c r="B108" s="27" t="s">
        <v>57</v>
      </c>
      <c r="C108" s="27"/>
      <c r="D108" s="16">
        <f>SUM(D105:D107)</f>
        <v>0.70499999999999996</v>
      </c>
      <c r="E108" s="16"/>
      <c r="F108" s="16"/>
      <c r="G108" s="16"/>
      <c r="H108" s="16">
        <f t="shared" ref="H108" si="16">SUM(H105:H107)</f>
        <v>0.98599999999999999</v>
      </c>
    </row>
    <row r="109" spans="2:8" s="20" customFormat="1" ht="3.75" customHeight="1" x14ac:dyDescent="0.25">
      <c r="D109" s="14"/>
      <c r="E109" s="14"/>
      <c r="F109" s="14"/>
      <c r="G109" s="14"/>
      <c r="H109" s="14"/>
    </row>
    <row r="110" spans="2:8" s="20" customFormat="1" x14ac:dyDescent="0.25">
      <c r="B110" s="19" t="s">
        <v>58</v>
      </c>
      <c r="C110" s="44"/>
      <c r="D110" s="17">
        <f>+D93+D103+D108</f>
        <v>343.50200000000007</v>
      </c>
      <c r="E110" s="17"/>
      <c r="F110" s="17"/>
      <c r="G110" s="17"/>
      <c r="H110" s="17">
        <f>+H93+H103+H108</f>
        <v>362.05499999999995</v>
      </c>
    </row>
    <row r="111" spans="2:8" s="20" customFormat="1" x14ac:dyDescent="0.25">
      <c r="D111" s="14"/>
      <c r="E111" s="14"/>
      <c r="F111" s="14"/>
      <c r="G111" s="14"/>
      <c r="H111" s="14"/>
    </row>
    <row r="112" spans="2:8" s="20" customFormat="1" x14ac:dyDescent="0.25">
      <c r="B112" s="21" t="s">
        <v>102</v>
      </c>
      <c r="C112" s="21"/>
      <c r="D112" s="14">
        <v>11.486000000000001</v>
      </c>
      <c r="E112" s="14"/>
      <c r="F112" s="14"/>
      <c r="G112" s="14"/>
      <c r="H112" s="14">
        <v>9.407</v>
      </c>
    </row>
    <row r="113" spans="2:12" s="20" customFormat="1" x14ac:dyDescent="0.25">
      <c r="B113" s="8" t="s">
        <v>59</v>
      </c>
      <c r="C113" s="8"/>
      <c r="D113" s="14">
        <v>0</v>
      </c>
      <c r="E113" s="14"/>
      <c r="F113" s="14"/>
      <c r="G113" s="14"/>
      <c r="H113" s="14">
        <v>0</v>
      </c>
    </row>
    <row r="114" spans="2:12" s="20" customFormat="1" x14ac:dyDescent="0.25">
      <c r="B114" s="8" t="s">
        <v>60</v>
      </c>
      <c r="C114" s="8"/>
      <c r="D114" s="14">
        <v>0</v>
      </c>
      <c r="E114" s="14"/>
      <c r="F114" s="14"/>
      <c r="G114" s="14"/>
      <c r="H114" s="14">
        <v>0</v>
      </c>
    </row>
    <row r="115" spans="2:12" s="20" customFormat="1" x14ac:dyDescent="0.25">
      <c r="B115" s="7" t="s">
        <v>61</v>
      </c>
      <c r="C115" s="7"/>
      <c r="D115" s="16">
        <f>SUM(D112:D114)</f>
        <v>11.486000000000001</v>
      </c>
      <c r="E115" s="16"/>
      <c r="F115" s="16"/>
      <c r="G115" s="16"/>
      <c r="H115" s="16">
        <f t="shared" ref="H115" si="17">SUM(H112:H114)</f>
        <v>9.407</v>
      </c>
    </row>
    <row r="116" spans="2:12" s="20" customFormat="1" x14ac:dyDescent="0.25">
      <c r="D116" s="14"/>
      <c r="E116" s="14"/>
      <c r="F116" s="14"/>
      <c r="G116" s="14"/>
      <c r="H116" s="14"/>
    </row>
    <row r="117" spans="2:12" s="20" customFormat="1" x14ac:dyDescent="0.25">
      <c r="B117" s="27" t="s">
        <v>62</v>
      </c>
      <c r="C117" s="27"/>
      <c r="D117" s="16">
        <f>0.032+53.914</f>
        <v>53.945999999999998</v>
      </c>
      <c r="E117" s="16"/>
      <c r="F117" s="16"/>
      <c r="G117" s="16"/>
      <c r="H117" s="16">
        <f>43.614+0.39</f>
        <v>44.003999999999998</v>
      </c>
      <c r="J117" s="14"/>
    </row>
    <row r="118" spans="2:12" s="20" customFormat="1" x14ac:dyDescent="0.25">
      <c r="B118" s="27"/>
      <c r="C118" s="27"/>
      <c r="D118" s="16"/>
      <c r="E118" s="16"/>
      <c r="F118" s="16"/>
      <c r="G118" s="16"/>
      <c r="H118" s="16"/>
    </row>
    <row r="119" spans="2:12" s="20" customFormat="1" x14ac:dyDescent="0.25">
      <c r="B119" s="27" t="s">
        <v>63</v>
      </c>
      <c r="C119" s="27"/>
      <c r="D119" s="16">
        <v>16.257000000000001</v>
      </c>
      <c r="E119" s="16"/>
      <c r="F119" s="16"/>
      <c r="G119" s="16"/>
      <c r="H119" s="16">
        <v>18.135999999999999</v>
      </c>
      <c r="J119" s="14"/>
      <c r="L119" s="29"/>
    </row>
    <row r="120" spans="2:12" s="20" customFormat="1" x14ac:dyDescent="0.25">
      <c r="B120" s="27"/>
      <c r="C120" s="27"/>
      <c r="D120" s="16"/>
      <c r="E120" s="16"/>
      <c r="F120" s="16"/>
      <c r="G120" s="16"/>
      <c r="H120" s="16"/>
    </row>
    <row r="121" spans="2:12" s="20" customFormat="1" x14ac:dyDescent="0.25">
      <c r="B121" s="27" t="s">
        <v>64</v>
      </c>
      <c r="C121" s="27"/>
      <c r="D121" s="16">
        <f>46.1+9.4</f>
        <v>55.5</v>
      </c>
      <c r="E121" s="16"/>
      <c r="F121" s="16"/>
      <c r="G121" s="16"/>
      <c r="H121" s="16">
        <f>44.387+0.927</f>
        <v>45.314</v>
      </c>
      <c r="L121" s="14"/>
    </row>
    <row r="122" spans="2:12" s="20" customFormat="1" x14ac:dyDescent="0.25">
      <c r="B122" s="27"/>
      <c r="C122" s="27"/>
      <c r="D122" s="16"/>
      <c r="E122" s="16"/>
      <c r="F122" s="16"/>
      <c r="G122" s="16"/>
      <c r="H122" s="16"/>
      <c r="L122" s="29"/>
    </row>
    <row r="123" spans="2:12" s="20" customFormat="1" x14ac:dyDescent="0.25">
      <c r="B123" s="27" t="s">
        <v>65</v>
      </c>
      <c r="C123" s="27"/>
      <c r="D123" s="16">
        <v>0.21</v>
      </c>
      <c r="E123" s="16"/>
      <c r="F123" s="16"/>
      <c r="G123" s="16"/>
      <c r="H123" s="16">
        <v>0.11899999999999999</v>
      </c>
      <c r="L123" s="14"/>
    </row>
    <row r="124" spans="2:12" s="20" customFormat="1" x14ac:dyDescent="0.25">
      <c r="D124" s="14"/>
      <c r="E124" s="14"/>
      <c r="F124" s="14"/>
      <c r="G124" s="14"/>
      <c r="H124" s="14"/>
    </row>
    <row r="125" spans="2:12" s="20" customFormat="1" x14ac:dyDescent="0.25">
      <c r="B125" s="19" t="s">
        <v>66</v>
      </c>
      <c r="C125" s="44"/>
      <c r="D125" s="17">
        <f>+D115+D117+D119+D121+D123</f>
        <v>137.39900000000003</v>
      </c>
      <c r="E125" s="17"/>
      <c r="F125" s="17"/>
      <c r="G125" s="17"/>
      <c r="H125" s="17">
        <f t="shared" ref="H125" si="18">+H115+H117+H119+H121+H123</f>
        <v>116.97999999999999</v>
      </c>
      <c r="I125" s="14"/>
      <c r="L125" s="14"/>
    </row>
    <row r="126" spans="2:12" s="20" customFormat="1" x14ac:dyDescent="0.25">
      <c r="D126" s="14"/>
      <c r="E126" s="14"/>
      <c r="F126" s="14"/>
      <c r="G126" s="14"/>
      <c r="H126" s="14"/>
    </row>
    <row r="127" spans="2:12" s="20" customFormat="1" x14ac:dyDescent="0.25">
      <c r="B127" s="19" t="s">
        <v>67</v>
      </c>
      <c r="C127" s="44"/>
      <c r="D127" s="17">
        <f>+D125+D110</f>
        <v>480.90100000000007</v>
      </c>
      <c r="E127" s="17"/>
      <c r="F127" s="17"/>
      <c r="G127" s="17"/>
      <c r="H127" s="17">
        <f>+H125+H110</f>
        <v>479.03499999999997</v>
      </c>
    </row>
    <row r="128" spans="2:12" s="20" customFormat="1" x14ac:dyDescent="0.25">
      <c r="D128" s="14"/>
      <c r="E128" s="14"/>
      <c r="F128" s="14"/>
      <c r="G128" s="14"/>
      <c r="H128" s="14"/>
    </row>
    <row r="129" spans="2:20" s="20" customFormat="1" x14ac:dyDescent="0.25">
      <c r="D129" s="14"/>
      <c r="E129" s="14"/>
      <c r="F129" s="14"/>
      <c r="G129" s="14"/>
      <c r="H129" s="14"/>
    </row>
    <row r="130" spans="2:20" s="20" customFormat="1" x14ac:dyDescent="0.25">
      <c r="D130" s="14"/>
      <c r="E130" s="14"/>
      <c r="F130" s="14"/>
      <c r="G130" s="14"/>
      <c r="H130" s="14"/>
    </row>
    <row r="131" spans="2:20" s="26" customFormat="1" x14ac:dyDescent="0.25">
      <c r="B131" s="25" t="s">
        <v>125</v>
      </c>
      <c r="C131" s="15"/>
      <c r="D131" s="15">
        <f>+D88</f>
        <v>39813</v>
      </c>
      <c r="E131" s="15"/>
      <c r="F131" s="15"/>
      <c r="G131" s="15"/>
      <c r="H131" s="15">
        <f>+H88</f>
        <v>40178</v>
      </c>
    </row>
    <row r="132" spans="2:20" s="20" customFormat="1" x14ac:dyDescent="0.25">
      <c r="D132" s="14"/>
      <c r="E132" s="14"/>
      <c r="F132" s="14"/>
      <c r="G132" s="14"/>
      <c r="H132" s="14"/>
    </row>
    <row r="133" spans="2:20" s="20" customFormat="1" x14ac:dyDescent="0.25">
      <c r="B133" s="20" t="s">
        <v>69</v>
      </c>
      <c r="D133" s="14">
        <v>72.116</v>
      </c>
      <c r="E133" s="14"/>
      <c r="F133" s="14"/>
      <c r="G133" s="14"/>
      <c r="H133" s="14">
        <v>72.116</v>
      </c>
    </row>
    <row r="134" spans="2:20" s="20" customFormat="1" x14ac:dyDescent="0.25">
      <c r="B134" s="20" t="s">
        <v>70</v>
      </c>
      <c r="D134" s="14">
        <v>0.32200000000000001</v>
      </c>
      <c r="E134" s="14"/>
      <c r="F134" s="14"/>
      <c r="G134" s="14"/>
      <c r="H134" s="14">
        <v>0.52800000000000002</v>
      </c>
    </row>
    <row r="135" spans="2:20" s="20" customFormat="1" x14ac:dyDescent="0.25">
      <c r="B135" s="20" t="s">
        <v>71</v>
      </c>
      <c r="D135" s="14">
        <v>-0.19500000000000001</v>
      </c>
      <c r="E135" s="14"/>
      <c r="F135" s="14"/>
      <c r="G135" s="14"/>
      <c r="H135" s="14">
        <v>-0.88100000000000001</v>
      </c>
    </row>
    <row r="136" spans="2:20" s="20" customFormat="1" x14ac:dyDescent="0.25">
      <c r="B136" s="20" t="s">
        <v>72</v>
      </c>
      <c r="D136" s="14">
        <v>6.1189999999999998</v>
      </c>
      <c r="E136" s="14"/>
      <c r="F136" s="14"/>
      <c r="G136" s="14"/>
      <c r="H136" s="14">
        <v>10.756</v>
      </c>
    </row>
    <row r="137" spans="2:20" s="20" customFormat="1" x14ac:dyDescent="0.25">
      <c r="B137" s="20" t="s">
        <v>73</v>
      </c>
      <c r="D137" s="14">
        <v>4.1580000000000004</v>
      </c>
      <c r="E137" s="14"/>
      <c r="F137" s="14"/>
      <c r="G137" s="14"/>
      <c r="H137" s="14">
        <v>5.8230000000000004</v>
      </c>
    </row>
    <row r="138" spans="2:20" s="20" customFormat="1" x14ac:dyDescent="0.25">
      <c r="B138" s="27" t="s">
        <v>68</v>
      </c>
      <c r="C138" s="27"/>
      <c r="D138" s="16">
        <f t="shared" ref="D138:H138" si="19">SUM(D133:D137)</f>
        <v>82.52000000000001</v>
      </c>
      <c r="E138" s="16"/>
      <c r="F138" s="16"/>
      <c r="G138" s="16"/>
      <c r="H138" s="16">
        <f t="shared" si="19"/>
        <v>88.342000000000013</v>
      </c>
    </row>
    <row r="139" spans="2:20" s="20" customFormat="1" x14ac:dyDescent="0.25">
      <c r="B139" s="27"/>
      <c r="C139" s="27"/>
      <c r="D139" s="16"/>
      <c r="E139" s="16"/>
      <c r="F139" s="16"/>
      <c r="G139" s="16"/>
      <c r="H139" s="16"/>
    </row>
    <row r="140" spans="2:20" s="31" customFormat="1" x14ac:dyDescent="0.25">
      <c r="B140" s="31" t="s">
        <v>120</v>
      </c>
      <c r="D140" s="35">
        <v>303.28800000000001</v>
      </c>
      <c r="E140" s="35"/>
      <c r="F140" s="35"/>
      <c r="G140" s="35"/>
      <c r="H140" s="35">
        <v>290.30799999999999</v>
      </c>
    </row>
    <row r="141" spans="2:20" s="31" customFormat="1" x14ac:dyDescent="0.25">
      <c r="B141" s="31" t="s">
        <v>121</v>
      </c>
      <c r="D141" s="35">
        <v>7.2590000000000003</v>
      </c>
      <c r="E141" s="35"/>
      <c r="F141" s="35"/>
      <c r="G141" s="35"/>
      <c r="H141" s="35">
        <v>15.196</v>
      </c>
    </row>
    <row r="142" spans="2:20" s="20" customFormat="1" x14ac:dyDescent="0.25">
      <c r="B142" s="27" t="s">
        <v>122</v>
      </c>
      <c r="C142" s="27"/>
      <c r="D142" s="16">
        <f>+D140+D141</f>
        <v>310.54700000000003</v>
      </c>
      <c r="E142" s="16"/>
      <c r="F142" s="16"/>
      <c r="G142" s="16"/>
      <c r="H142" s="16">
        <f>+H140+H141</f>
        <v>305.50400000000002</v>
      </c>
    </row>
    <row r="143" spans="2:20" s="20" customFormat="1" x14ac:dyDescent="0.25">
      <c r="D143" s="14"/>
      <c r="E143" s="14"/>
      <c r="F143" s="14"/>
      <c r="G143" s="14"/>
      <c r="H143" s="14"/>
    </row>
    <row r="144" spans="2:20" s="20" customFormat="1" x14ac:dyDescent="0.25">
      <c r="B144" s="27" t="s">
        <v>74</v>
      </c>
      <c r="C144" s="27"/>
      <c r="D144" s="16">
        <v>20.672000000000001</v>
      </c>
      <c r="E144" s="16"/>
      <c r="F144" s="16"/>
      <c r="G144" s="16"/>
      <c r="H144" s="16">
        <v>26.132999999999999</v>
      </c>
      <c r="T144" s="20" t="s">
        <v>151</v>
      </c>
    </row>
    <row r="145" spans="2:21" s="20" customFormat="1" x14ac:dyDescent="0.25">
      <c r="D145" s="14"/>
      <c r="E145" s="14"/>
      <c r="F145" s="14"/>
      <c r="G145" s="14"/>
      <c r="H145" s="14"/>
      <c r="T145" s="20">
        <v>849.73</v>
      </c>
    </row>
    <row r="146" spans="2:21" s="20" customFormat="1" x14ac:dyDescent="0.25">
      <c r="B146" s="31" t="s">
        <v>75</v>
      </c>
      <c r="C146" s="31"/>
      <c r="D146" s="14">
        <v>0</v>
      </c>
      <c r="E146" s="14"/>
      <c r="F146" s="14"/>
      <c r="G146" s="14"/>
      <c r="H146" s="14">
        <v>0</v>
      </c>
      <c r="K146" s="20" t="s">
        <v>155</v>
      </c>
      <c r="T146" s="20">
        <f>-123.55+5</f>
        <v>-118.55</v>
      </c>
    </row>
    <row r="147" spans="2:21" s="20" customFormat="1" x14ac:dyDescent="0.25">
      <c r="B147" s="20" t="s">
        <v>76</v>
      </c>
      <c r="D147" s="14">
        <v>7.1999999999999995E-2</v>
      </c>
      <c r="E147" s="14"/>
      <c r="F147" s="14"/>
      <c r="G147" s="14"/>
      <c r="H147" s="14">
        <v>3.7719999999999998</v>
      </c>
      <c r="T147" s="20">
        <f>+T145+T146</f>
        <v>731.18000000000006</v>
      </c>
    </row>
    <row r="148" spans="2:21" s="20" customFormat="1" x14ac:dyDescent="0.25">
      <c r="B148" s="20" t="s">
        <v>77</v>
      </c>
      <c r="D148" s="14">
        <v>1.778</v>
      </c>
      <c r="E148" s="14"/>
      <c r="F148" s="14"/>
      <c r="G148" s="14"/>
      <c r="H148" s="14">
        <v>0.10199999999999999</v>
      </c>
    </row>
    <row r="149" spans="2:21" s="20" customFormat="1" x14ac:dyDescent="0.25">
      <c r="B149" s="20" t="s">
        <v>123</v>
      </c>
      <c r="D149" s="14">
        <v>2.4359999999999999</v>
      </c>
      <c r="E149" s="14"/>
      <c r="F149" s="14"/>
      <c r="G149" s="14"/>
      <c r="H149" s="14">
        <v>2.4940000000000002</v>
      </c>
      <c r="L149" s="20" t="s">
        <v>150</v>
      </c>
      <c r="N149" s="14">
        <f>+H19</f>
        <v>161.29599999999999</v>
      </c>
      <c r="S149" s="20" t="s">
        <v>150</v>
      </c>
      <c r="T149" s="20">
        <v>541.29999999999995</v>
      </c>
    </row>
    <row r="150" spans="2:21" s="20" customFormat="1" x14ac:dyDescent="0.25">
      <c r="B150" s="20" t="s">
        <v>78</v>
      </c>
      <c r="D150" s="14">
        <v>24.896999999999998</v>
      </c>
      <c r="E150" s="14"/>
      <c r="F150" s="14"/>
      <c r="G150" s="14"/>
      <c r="H150" s="14">
        <v>22.962</v>
      </c>
      <c r="L150" s="20" t="s">
        <v>25</v>
      </c>
      <c r="N150" s="14">
        <f>+H40</f>
        <v>24.61099999999999</v>
      </c>
      <c r="O150" s="18">
        <f>+N150/N149</f>
        <v>0.15258282908441617</v>
      </c>
      <c r="P150" s="42">
        <f>+T147/T150</f>
        <v>6.3580869565217393</v>
      </c>
      <c r="Q150" s="29">
        <f>+P150*N150</f>
        <v>156.47887808695646</v>
      </c>
      <c r="T150" s="20">
        <v>115</v>
      </c>
      <c r="U150" s="18">
        <f>+T150/T149</f>
        <v>0.21245150563458343</v>
      </c>
    </row>
    <row r="151" spans="2:21" s="20" customFormat="1" x14ac:dyDescent="0.25">
      <c r="B151" s="20" t="s">
        <v>79</v>
      </c>
      <c r="D151" s="14">
        <v>18.379000000000001</v>
      </c>
      <c r="E151" s="14"/>
      <c r="F151" s="14"/>
      <c r="G151" s="14"/>
      <c r="H151" s="14">
        <v>17.667999999999999</v>
      </c>
      <c r="L151" s="20" t="s">
        <v>148</v>
      </c>
      <c r="N151" s="14">
        <f>+H47</f>
        <v>8.9359999999999893</v>
      </c>
      <c r="O151" s="18">
        <f>+N151/N149</f>
        <v>5.5401249876004303E-2</v>
      </c>
      <c r="P151" s="42">
        <f>+T147/T151</f>
        <v>9.232070707070708</v>
      </c>
      <c r="Q151" s="29">
        <f>+P151*N151</f>
        <v>82.497783838383754</v>
      </c>
      <c r="T151" s="20">
        <v>79.2</v>
      </c>
      <c r="U151" s="18">
        <f>+T151/T149</f>
        <v>0.14631442822833921</v>
      </c>
    </row>
    <row r="152" spans="2:21" s="20" customFormat="1" x14ac:dyDescent="0.25">
      <c r="B152" s="20" t="s">
        <v>80</v>
      </c>
      <c r="D152" s="14">
        <v>0</v>
      </c>
      <c r="E152" s="14"/>
      <c r="F152" s="14"/>
      <c r="G152" s="14"/>
      <c r="H152" s="14">
        <v>0</v>
      </c>
      <c r="L152" s="20" t="s">
        <v>149</v>
      </c>
      <c r="N152" s="14">
        <f>+H75</f>
        <v>5.8239999999999883</v>
      </c>
      <c r="O152" s="18">
        <f>+N152/N149</f>
        <v>3.6107529014978601E-2</v>
      </c>
      <c r="P152" s="42">
        <f>+T147/T152</f>
        <v>12.477474402730376</v>
      </c>
      <c r="Q152" s="29">
        <f>+P152*N152</f>
        <v>72.66881092150156</v>
      </c>
      <c r="T152" s="20">
        <v>58.6</v>
      </c>
      <c r="U152" s="18">
        <f>+T152/T149</f>
        <v>0.10825789765379643</v>
      </c>
    </row>
    <row r="153" spans="2:21" s="20" customFormat="1" x14ac:dyDescent="0.25">
      <c r="B153" s="20" t="s">
        <v>81</v>
      </c>
      <c r="D153" s="14">
        <v>19.600000000000001</v>
      </c>
      <c r="E153" s="14"/>
      <c r="F153" s="14"/>
      <c r="G153" s="14"/>
      <c r="H153" s="14">
        <v>12.058</v>
      </c>
      <c r="L153" s="20" t="s">
        <v>152</v>
      </c>
      <c r="N153" s="20">
        <v>15</v>
      </c>
      <c r="T153" s="20">
        <v>40</v>
      </c>
    </row>
    <row r="154" spans="2:21" s="20" customFormat="1" x14ac:dyDescent="0.25">
      <c r="D154" s="14"/>
      <c r="E154" s="14"/>
      <c r="F154" s="14"/>
      <c r="G154" s="14"/>
      <c r="H154" s="14"/>
      <c r="L154" s="20" t="s">
        <v>153</v>
      </c>
      <c r="N154" s="14">
        <f>+N150-N153</f>
        <v>9.61099999999999</v>
      </c>
      <c r="P154" s="42">
        <f>+T147/T154</f>
        <v>9.7490666666666677</v>
      </c>
      <c r="Q154" s="29">
        <f>+N154*P154</f>
        <v>93.698279733333251</v>
      </c>
      <c r="T154" s="20">
        <f>+T150-T153</f>
        <v>75</v>
      </c>
    </row>
    <row r="155" spans="2:21" s="20" customFormat="1" x14ac:dyDescent="0.25">
      <c r="B155" s="20" t="s">
        <v>65</v>
      </c>
      <c r="D155" s="14">
        <v>0</v>
      </c>
      <c r="E155" s="14"/>
      <c r="F155" s="14"/>
      <c r="G155" s="14"/>
      <c r="H155" s="14">
        <v>0</v>
      </c>
      <c r="O155" s="20" t="s">
        <v>154</v>
      </c>
      <c r="Q155" s="29">
        <f>SUM(Q150:Q154)/4</f>
        <v>101.33593814504376</v>
      </c>
    </row>
    <row r="156" spans="2:21" s="20" customFormat="1" x14ac:dyDescent="0.25">
      <c r="D156" s="14"/>
      <c r="E156" s="14"/>
      <c r="F156" s="14"/>
      <c r="G156" s="14"/>
      <c r="H156" s="14"/>
    </row>
    <row r="157" spans="2:21" s="20" customFormat="1" x14ac:dyDescent="0.25">
      <c r="B157" s="19" t="s">
        <v>82</v>
      </c>
      <c r="C157" s="44"/>
      <c r="D157" s="17">
        <f>+D138+D144+SUM(D146:D153)+D155+D142</f>
        <v>480.90100000000007</v>
      </c>
      <c r="E157" s="17"/>
      <c r="F157" s="17"/>
      <c r="G157" s="17"/>
      <c r="H157" s="17">
        <f>+H138+H144+SUM(H146:H153)+H155+H142</f>
        <v>479.03500000000003</v>
      </c>
      <c r="M157" s="30"/>
    </row>
    <row r="158" spans="2:21" s="32" customFormat="1" x14ac:dyDescent="0.25">
      <c r="D158" s="38">
        <f>+D157-D127</f>
        <v>0</v>
      </c>
      <c r="E158" s="38"/>
      <c r="F158" s="38"/>
      <c r="G158" s="23">
        <f t="shared" ref="G158:H158" si="20">+G157-G127</f>
        <v>0</v>
      </c>
      <c r="H158" s="38">
        <f t="shared" si="20"/>
        <v>0</v>
      </c>
      <c r="M158" s="24"/>
    </row>
    <row r="159" spans="2:21" s="20" customFormat="1" x14ac:dyDescent="0.25">
      <c r="D159" s="14"/>
      <c r="E159" s="14"/>
      <c r="F159" s="14"/>
      <c r="G159" s="14"/>
      <c r="H159" s="14"/>
      <c r="K159" s="29">
        <f>+H42*(1+$Q159)</f>
        <v>15.9885</v>
      </c>
      <c r="L159" s="29">
        <f>K159*(1+$Q159)</f>
        <v>16.30827</v>
      </c>
      <c r="M159" s="29">
        <f t="shared" ref="M159:P159" si="21">L159*(1+$Q159)</f>
        <v>16.634435400000001</v>
      </c>
      <c r="N159" s="29">
        <f t="shared" si="21"/>
        <v>16.967124108</v>
      </c>
      <c r="O159" s="29">
        <f t="shared" si="21"/>
        <v>17.306466590159999</v>
      </c>
      <c r="P159" s="29">
        <f t="shared" si="21"/>
        <v>17.652595921963201</v>
      </c>
      <c r="Q159" s="40">
        <v>0.02</v>
      </c>
    </row>
    <row r="160" spans="2:21" s="20" customFormat="1" ht="15.75" thickBot="1" x14ac:dyDescent="0.3">
      <c r="D160" s="14"/>
      <c r="E160" s="14"/>
      <c r="F160" s="14"/>
      <c r="G160" s="14"/>
      <c r="H160" s="14"/>
      <c r="K160" s="29"/>
      <c r="L160" s="29"/>
      <c r="M160" s="29"/>
      <c r="N160" s="29"/>
      <c r="O160" s="29"/>
      <c r="P160" s="29"/>
      <c r="Q160" s="40"/>
    </row>
    <row r="161" spans="2:28" s="20" customFormat="1" ht="15.75" thickBot="1" x14ac:dyDescent="0.3">
      <c r="B161" s="19" t="s">
        <v>83</v>
      </c>
      <c r="C161" s="44"/>
      <c r="D161" s="17" t="s">
        <v>4</v>
      </c>
      <c r="E161" s="17"/>
      <c r="F161" s="17"/>
      <c r="G161" s="17"/>
      <c r="H161" s="17" t="s">
        <v>5</v>
      </c>
      <c r="K161" s="71">
        <v>2011</v>
      </c>
      <c r="L161" s="72">
        <v>2012</v>
      </c>
      <c r="M161" s="72">
        <v>2013</v>
      </c>
      <c r="N161" s="72">
        <v>2014</v>
      </c>
      <c r="O161" s="72">
        <v>2015</v>
      </c>
      <c r="P161" s="73" t="s">
        <v>143</v>
      </c>
      <c r="Q161" s="40"/>
    </row>
    <row r="162" spans="2:28" s="20" customFormat="1" ht="3.75" customHeight="1" x14ac:dyDescent="0.25">
      <c r="D162" s="14"/>
      <c r="E162" s="14"/>
      <c r="F162" s="14"/>
      <c r="G162" s="14"/>
      <c r="H162" s="14"/>
      <c r="K162" s="29"/>
      <c r="L162" s="29"/>
      <c r="M162" s="29"/>
      <c r="N162" s="29"/>
      <c r="O162" s="29"/>
      <c r="P162" s="29"/>
      <c r="Q162" s="40"/>
    </row>
    <row r="163" spans="2:28" s="20" customFormat="1" x14ac:dyDescent="0.25">
      <c r="B163" s="20" t="s">
        <v>25</v>
      </c>
      <c r="D163" s="14"/>
      <c r="E163" s="14"/>
      <c r="F163" s="14"/>
      <c r="G163" s="14"/>
      <c r="H163" s="14">
        <f>+H40</f>
        <v>24.61099999999999</v>
      </c>
      <c r="K163" s="29">
        <f>+H163</f>
        <v>24.61099999999999</v>
      </c>
      <c r="L163" s="29">
        <f>+K163*(1+$Q163)</f>
        <v>25.718494999999987</v>
      </c>
      <c r="M163" s="29">
        <f>+L163*(1+$Q163)</f>
        <v>26.875827274999985</v>
      </c>
      <c r="N163" s="29">
        <f t="shared" ref="N163:O163" si="22">+M163*(1+$Q163)</f>
        <v>28.085239502374982</v>
      </c>
      <c r="O163" s="29">
        <f t="shared" si="22"/>
        <v>29.349075279981854</v>
      </c>
      <c r="P163" s="29">
        <f>+O163*(1+R163)</f>
        <v>30.082802161981398</v>
      </c>
      <c r="Q163" s="40">
        <v>4.4999999999999998E-2</v>
      </c>
      <c r="R163" s="40">
        <v>2.5000000000000001E-2</v>
      </c>
    </row>
    <row r="164" spans="2:28" s="20" customFormat="1" x14ac:dyDescent="0.25">
      <c r="B164" s="20" t="s">
        <v>126</v>
      </c>
      <c r="D164" s="14"/>
      <c r="E164" s="14"/>
      <c r="F164" s="14"/>
      <c r="G164" s="14"/>
      <c r="H164" s="14">
        <f>+H68-3.24+3.29</f>
        <v>-0.93599999999999994</v>
      </c>
      <c r="K164" s="29">
        <v>0</v>
      </c>
      <c r="L164" s="29">
        <v>0</v>
      </c>
      <c r="M164" s="29">
        <v>0</v>
      </c>
      <c r="N164" s="29">
        <v>0</v>
      </c>
      <c r="O164" s="29">
        <v>0</v>
      </c>
      <c r="P164" s="29">
        <v>0</v>
      </c>
    </row>
    <row r="165" spans="2:28" s="20" customFormat="1" x14ac:dyDescent="0.25">
      <c r="B165" s="20" t="s">
        <v>128</v>
      </c>
      <c r="D165" s="14"/>
      <c r="E165" s="14"/>
      <c r="F165" s="14"/>
      <c r="G165" s="14"/>
      <c r="H165" s="14">
        <f>+H49</f>
        <v>0.93100000000000005</v>
      </c>
      <c r="K165" s="29">
        <v>0</v>
      </c>
      <c r="L165" s="29">
        <v>0</v>
      </c>
      <c r="M165" s="29">
        <v>0</v>
      </c>
      <c r="N165" s="29">
        <v>0</v>
      </c>
      <c r="O165" s="29">
        <v>0</v>
      </c>
      <c r="P165" s="29">
        <v>0</v>
      </c>
    </row>
    <row r="166" spans="2:28" s="20" customFormat="1" x14ac:dyDescent="0.25">
      <c r="B166" s="20" t="s">
        <v>43</v>
      </c>
      <c r="D166" s="14"/>
      <c r="E166" s="14"/>
      <c r="F166" s="14"/>
      <c r="G166" s="14"/>
      <c r="H166" s="14">
        <f>-H73</f>
        <v>-3.1070000000000002</v>
      </c>
      <c r="K166" s="29">
        <f>-(K163-K159)*0.33</f>
        <v>-2.845424999999997</v>
      </c>
      <c r="L166" s="29">
        <f t="shared" ref="L166:P166" si="23">-(L163-L159)*0.33</f>
        <v>-3.1053742499999957</v>
      </c>
      <c r="M166" s="29">
        <f t="shared" si="23"/>
        <v>-3.3796593187499946</v>
      </c>
      <c r="N166" s="29">
        <f t="shared" si="23"/>
        <v>-3.6689780801437442</v>
      </c>
      <c r="O166" s="29">
        <f t="shared" si="23"/>
        <v>-3.9740608676412119</v>
      </c>
      <c r="P166" s="29">
        <f t="shared" si="23"/>
        <v>-4.1019680592060057</v>
      </c>
      <c r="T166" s="20">
        <f>4.5*12</f>
        <v>54</v>
      </c>
    </row>
    <row r="167" spans="2:28" s="20" customFormat="1" x14ac:dyDescent="0.25">
      <c r="B167" s="20" t="s">
        <v>129</v>
      </c>
      <c r="D167" s="14"/>
      <c r="E167" s="14"/>
      <c r="F167" s="14"/>
      <c r="G167" s="14"/>
      <c r="H167" s="13">
        <v>-4.9080000000000004</v>
      </c>
      <c r="K167" s="29">
        <v>0</v>
      </c>
      <c r="L167" s="29">
        <v>0</v>
      </c>
      <c r="M167" s="29">
        <v>0</v>
      </c>
      <c r="N167" s="29">
        <v>0</v>
      </c>
      <c r="O167" s="29">
        <v>0</v>
      </c>
      <c r="P167" s="29">
        <v>0</v>
      </c>
      <c r="T167" s="20">
        <f>+T166/0.55</f>
        <v>98.181818181818173</v>
      </c>
    </row>
    <row r="168" spans="2:28" s="20" customFormat="1" x14ac:dyDescent="0.25">
      <c r="B168" s="20" t="s">
        <v>130</v>
      </c>
      <c r="D168" s="14"/>
      <c r="E168" s="14"/>
      <c r="F168" s="14"/>
      <c r="G168" s="14"/>
      <c r="H168" s="14">
        <v>-0.16</v>
      </c>
      <c r="K168" s="29">
        <v>0</v>
      </c>
      <c r="L168" s="29">
        <v>0</v>
      </c>
      <c r="M168" s="29">
        <v>0</v>
      </c>
      <c r="N168" s="29">
        <v>0</v>
      </c>
      <c r="O168" s="29">
        <v>0</v>
      </c>
      <c r="P168" s="29">
        <v>0</v>
      </c>
    </row>
    <row r="169" spans="2:28" s="32" customFormat="1" x14ac:dyDescent="0.25">
      <c r="B169" s="32" t="s">
        <v>92</v>
      </c>
      <c r="D169" s="24"/>
      <c r="E169" s="24"/>
      <c r="F169" s="24"/>
      <c r="G169" s="24"/>
      <c r="H169" s="24">
        <f>17.266-16.431</f>
        <v>0.8349999999999973</v>
      </c>
      <c r="K169" s="69">
        <v>0</v>
      </c>
      <c r="L169" s="69">
        <v>0</v>
      </c>
      <c r="M169" s="69">
        <v>0</v>
      </c>
      <c r="N169" s="69">
        <v>0</v>
      </c>
      <c r="O169" s="69">
        <v>0</v>
      </c>
      <c r="P169" s="69">
        <v>0</v>
      </c>
      <c r="W169" s="32">
        <v>15</v>
      </c>
      <c r="X169" s="32">
        <v>16</v>
      </c>
      <c r="Y169" s="32">
        <v>17</v>
      </c>
      <c r="Z169" s="32">
        <v>18</v>
      </c>
      <c r="AA169" s="32">
        <v>19</v>
      </c>
      <c r="AB169" s="32">
        <v>20</v>
      </c>
    </row>
    <row r="170" spans="2:28" s="20" customFormat="1" ht="3.75" customHeight="1" x14ac:dyDescent="0.25">
      <c r="D170" s="14"/>
      <c r="E170" s="14"/>
      <c r="F170" s="14"/>
      <c r="G170" s="14"/>
      <c r="H170" s="14"/>
      <c r="K170" s="29"/>
      <c r="L170" s="29"/>
      <c r="M170" s="29"/>
      <c r="N170" s="29"/>
      <c r="O170" s="29"/>
      <c r="P170" s="29"/>
    </row>
    <row r="171" spans="2:28" s="20" customFormat="1" x14ac:dyDescent="0.25">
      <c r="B171" s="27" t="s">
        <v>127</v>
      </c>
      <c r="C171" s="27"/>
      <c r="D171" s="16">
        <f>SUM(D163:D169)</f>
        <v>0</v>
      </c>
      <c r="E171" s="16"/>
      <c r="F171" s="16"/>
      <c r="G171" s="16"/>
      <c r="H171" s="16">
        <f>SUM(H163:H169)</f>
        <v>17.265999999999988</v>
      </c>
      <c r="K171" s="29">
        <f>SUM(K163:K169)</f>
        <v>21.765574999999991</v>
      </c>
      <c r="L171" s="29">
        <f t="shared" ref="L171:P171" si="24">SUM(L163:L169)</f>
        <v>22.61312074999999</v>
      </c>
      <c r="M171" s="29">
        <f t="shared" si="24"/>
        <v>23.496167956249991</v>
      </c>
      <c r="N171" s="29">
        <f t="shared" si="24"/>
        <v>24.416261422231237</v>
      </c>
      <c r="O171" s="29">
        <f t="shared" si="24"/>
        <v>25.37501441234064</v>
      </c>
      <c r="P171" s="29">
        <f t="shared" si="24"/>
        <v>25.980834102775393</v>
      </c>
      <c r="V171" s="41">
        <v>3.5000000000000003E-2</v>
      </c>
      <c r="W171" s="20">
        <v>180.3</v>
      </c>
      <c r="X171" s="20">
        <v>162.69999999999999</v>
      </c>
      <c r="Y171" s="20">
        <v>140.19999999999999</v>
      </c>
      <c r="Z171" s="20">
        <v>127.7</v>
      </c>
      <c r="AA171" s="20">
        <v>110.2</v>
      </c>
      <c r="AB171" s="20">
        <v>92.7</v>
      </c>
    </row>
    <row r="172" spans="2:28" s="20" customFormat="1" x14ac:dyDescent="0.25">
      <c r="B172" s="20" t="s">
        <v>84</v>
      </c>
      <c r="D172" s="14"/>
      <c r="E172" s="14"/>
      <c r="F172" s="14"/>
      <c r="G172" s="14"/>
      <c r="H172" s="14">
        <v>-35.783000000000001</v>
      </c>
      <c r="K172" s="29">
        <v>-23.6</v>
      </c>
      <c r="L172" s="29">
        <f>+(K172+1.7)*(1+$R172)</f>
        <v>-22.338000000000001</v>
      </c>
      <c r="M172" s="29">
        <f t="shared" ref="M172:O172" si="25">+L172*(1+$R172)</f>
        <v>-22.784760000000002</v>
      </c>
      <c r="N172" s="29">
        <f t="shared" si="25"/>
        <v>-23.240455200000003</v>
      </c>
      <c r="O172" s="29">
        <f t="shared" si="25"/>
        <v>-23.705264304000004</v>
      </c>
      <c r="P172" s="29">
        <f>-(15+N194-1.7)*(1+R172)^5</f>
        <v>-18.658965574080003</v>
      </c>
      <c r="R172" s="70">
        <v>0.02</v>
      </c>
      <c r="V172" s="41">
        <v>2.5000000000000001E-2</v>
      </c>
      <c r="W172" s="20">
        <v>147.6</v>
      </c>
      <c r="X172" s="20">
        <v>133.80000000000001</v>
      </c>
      <c r="Y172" s="20">
        <v>120</v>
      </c>
      <c r="Z172" s="20">
        <v>106.1</v>
      </c>
      <c r="AA172" s="20">
        <v>92.3</v>
      </c>
      <c r="AB172" s="20">
        <v>75.5</v>
      </c>
    </row>
    <row r="173" spans="2:28" s="20" customFormat="1" x14ac:dyDescent="0.25">
      <c r="B173" s="20" t="s">
        <v>85</v>
      </c>
      <c r="D173" s="14"/>
      <c r="E173" s="14"/>
      <c r="F173" s="14"/>
      <c r="G173" s="14"/>
      <c r="H173" s="14">
        <v>5.4480000000000004</v>
      </c>
      <c r="K173" s="29">
        <f>-H19*0.02*(H188/365)</f>
        <v>-0.74065382898521936</v>
      </c>
      <c r="L173" s="29">
        <f>+K173*(1+$Q163)</f>
        <v>-0.77398325128955414</v>
      </c>
      <c r="M173" s="29">
        <f t="shared" ref="M173:O173" si="26">+L173*(1+$Q163)</f>
        <v>-0.808812497597584</v>
      </c>
      <c r="N173" s="29">
        <f t="shared" si="26"/>
        <v>-0.84520905998947526</v>
      </c>
      <c r="O173" s="29">
        <f t="shared" si="26"/>
        <v>-0.88324346768900164</v>
      </c>
      <c r="P173" s="29">
        <f>+O173*(1+$Q163)</f>
        <v>-0.9229894237350067</v>
      </c>
    </row>
    <row r="174" spans="2:28" s="20" customFormat="1" x14ac:dyDescent="0.25">
      <c r="B174" s="32" t="s">
        <v>92</v>
      </c>
      <c r="C174" s="32"/>
      <c r="D174" s="24"/>
      <c r="E174" s="24"/>
      <c r="F174" s="24"/>
      <c r="G174" s="24"/>
      <c r="H174" s="24">
        <v>0</v>
      </c>
      <c r="K174" s="29"/>
      <c r="L174" s="29"/>
      <c r="M174" s="29"/>
      <c r="N174" s="29"/>
      <c r="O174" s="29"/>
      <c r="P174" s="29"/>
    </row>
    <row r="175" spans="2:28" s="20" customFormat="1" ht="3.75" customHeight="1" x14ac:dyDescent="0.25">
      <c r="D175" s="14"/>
      <c r="E175" s="14"/>
      <c r="F175" s="14"/>
      <c r="G175" s="14"/>
      <c r="H175" s="14"/>
      <c r="K175" s="29"/>
      <c r="L175" s="29"/>
      <c r="M175" s="29"/>
      <c r="N175" s="29"/>
      <c r="O175" s="29"/>
      <c r="P175" s="29"/>
    </row>
    <row r="176" spans="2:28" s="20" customFormat="1" x14ac:dyDescent="0.25">
      <c r="B176" s="19" t="s">
        <v>86</v>
      </c>
      <c r="C176" s="44"/>
      <c r="D176" s="17">
        <f>SUM(D171:D174)</f>
        <v>0</v>
      </c>
      <c r="E176" s="17"/>
      <c r="F176" s="17"/>
      <c r="G176" s="17"/>
      <c r="H176" s="17">
        <f>SUM(H171:H174)</f>
        <v>-13.069000000000013</v>
      </c>
      <c r="K176" s="29">
        <f>SUM(K171:K174)</f>
        <v>-2.5750788289852293</v>
      </c>
      <c r="L176" s="29">
        <f t="shared" ref="L176:O176" si="27">SUM(L171:L174)</f>
        <v>-0.49886250128956555</v>
      </c>
      <c r="M176" s="29">
        <f t="shared" si="27"/>
        <v>-9.740454134759513E-2</v>
      </c>
      <c r="N176" s="29">
        <f t="shared" si="27"/>
        <v>0.33059716224175872</v>
      </c>
      <c r="O176" s="29">
        <f t="shared" si="27"/>
        <v>0.78650664065163489</v>
      </c>
      <c r="P176" s="29">
        <f>SUM(P171:P174)</f>
        <v>6.3988791049603835</v>
      </c>
    </row>
    <row r="177" spans="2:27" s="20" customFormat="1" x14ac:dyDescent="0.25">
      <c r="D177" s="14"/>
      <c r="E177" s="14"/>
      <c r="F177" s="14"/>
      <c r="G177" s="14"/>
      <c r="H177" s="14"/>
      <c r="K177" s="29">
        <f>+K176</f>
        <v>-2.5750788289852293</v>
      </c>
      <c r="L177" s="29">
        <f t="shared" ref="L177:O177" si="28">+L176</f>
        <v>-0.49886250128956555</v>
      </c>
      <c r="M177" s="29">
        <f t="shared" si="28"/>
        <v>-9.740454134759513E-2</v>
      </c>
      <c r="N177" s="29">
        <f t="shared" si="28"/>
        <v>0.33059716224175872</v>
      </c>
      <c r="O177" s="29">
        <f t="shared" si="28"/>
        <v>0.78650664065163489</v>
      </c>
      <c r="P177" s="29">
        <f>+P176/(S178-R163)</f>
        <v>142.19731344356407</v>
      </c>
    </row>
    <row r="178" spans="2:27" s="20" customFormat="1" x14ac:dyDescent="0.25">
      <c r="B178" s="20" t="s">
        <v>260</v>
      </c>
      <c r="D178" s="14"/>
      <c r="E178" s="14"/>
      <c r="F178" s="14"/>
      <c r="G178" s="14">
        <f>-G34</f>
        <v>0</v>
      </c>
      <c r="H178" s="14">
        <v>3.778</v>
      </c>
      <c r="K178" s="29"/>
      <c r="L178" s="29"/>
      <c r="M178" s="29"/>
      <c r="N178" s="29"/>
      <c r="O178" s="29"/>
      <c r="P178" s="29"/>
      <c r="R178" s="20" t="s">
        <v>144</v>
      </c>
      <c r="S178" s="41">
        <f>+U192</f>
        <v>7.0000000000000007E-2</v>
      </c>
      <c r="V178" s="20" t="s">
        <v>145</v>
      </c>
      <c r="W178" s="29">
        <f>SUM(K182:P182)</f>
        <v>92.643200740730904</v>
      </c>
    </row>
    <row r="179" spans="2:27" s="20" customFormat="1" x14ac:dyDescent="0.25">
      <c r="B179" s="20" t="s">
        <v>87</v>
      </c>
      <c r="D179" s="14"/>
      <c r="E179" s="14"/>
      <c r="F179" s="14"/>
      <c r="G179" s="14"/>
      <c r="H179" s="14">
        <v>0</v>
      </c>
      <c r="K179" s="68">
        <f>1+S178</f>
        <v>1.07</v>
      </c>
      <c r="L179" s="68">
        <f>+K179*(1+$S178)</f>
        <v>1.1449</v>
      </c>
      <c r="M179" s="68">
        <f>+L179*(1+$S178)</f>
        <v>1.2250430000000001</v>
      </c>
      <c r="N179" s="68">
        <f>+M179*(1+$S178)</f>
        <v>1.3107960100000002</v>
      </c>
      <c r="O179" s="68">
        <f>+N179*(1+$S178)</f>
        <v>1.4025517307000004</v>
      </c>
      <c r="P179" s="68">
        <f>+O179*(1+$S178)</f>
        <v>1.5007303518490005</v>
      </c>
      <c r="V179" s="20" t="s">
        <v>146</v>
      </c>
      <c r="W179" s="29">
        <f>+H121-H147</f>
        <v>41.542000000000002</v>
      </c>
    </row>
    <row r="180" spans="2:27" s="20" customFormat="1" x14ac:dyDescent="0.25">
      <c r="B180" s="21" t="s">
        <v>261</v>
      </c>
      <c r="D180" s="14"/>
      <c r="E180" s="14"/>
      <c r="F180" s="14"/>
      <c r="G180" s="14"/>
      <c r="H180" s="14">
        <v>0.84299999999999997</v>
      </c>
      <c r="K180" s="68"/>
      <c r="L180" s="68"/>
      <c r="M180" s="68"/>
      <c r="N180" s="68"/>
      <c r="O180" s="68"/>
      <c r="P180" s="68"/>
      <c r="W180" s="29"/>
    </row>
    <row r="181" spans="2:27" s="20" customFormat="1" x14ac:dyDescent="0.25">
      <c r="B181" s="20" t="s">
        <v>89</v>
      </c>
      <c r="D181" s="14"/>
      <c r="E181" s="14"/>
      <c r="F181" s="14"/>
      <c r="G181" s="14"/>
      <c r="H181" s="14">
        <f>4.626-H178-H179-H180</f>
        <v>5.0000000000003375E-3</v>
      </c>
      <c r="K181" s="29"/>
      <c r="L181" s="29"/>
      <c r="M181" s="29"/>
      <c r="N181" s="29"/>
      <c r="O181" s="29"/>
      <c r="P181" s="29"/>
      <c r="V181" s="20" t="s">
        <v>147</v>
      </c>
      <c r="W181" s="29">
        <v>-40</v>
      </c>
    </row>
    <row r="182" spans="2:27" s="20" customFormat="1" x14ac:dyDescent="0.25">
      <c r="D182" s="14"/>
      <c r="E182" s="14"/>
      <c r="F182" s="14"/>
      <c r="G182" s="14"/>
      <c r="H182" s="14"/>
      <c r="K182" s="29">
        <f>+K177/K179</f>
        <v>-2.4066157280235787</v>
      </c>
      <c r="L182" s="29">
        <f t="shared" ref="L182:P182" si="29">+L177/L179</f>
        <v>-0.43572582870955151</v>
      </c>
      <c r="M182" s="29">
        <f t="shared" si="29"/>
        <v>-7.9511120301569108E-2</v>
      </c>
      <c r="N182" s="29">
        <f t="shared" si="29"/>
        <v>0.25221099219073656</v>
      </c>
      <c r="O182" s="29">
        <f t="shared" si="29"/>
        <v>0.56076836485674353</v>
      </c>
      <c r="P182" s="29">
        <f t="shared" si="29"/>
        <v>94.75207406071813</v>
      </c>
      <c r="W182" s="43">
        <f>+W178+W179+W181</f>
        <v>94.18520074073092</v>
      </c>
      <c r="Y182" s="43">
        <f>+W182*0.15</f>
        <v>14.127780111109638</v>
      </c>
      <c r="Z182" s="67">
        <f>10.8*1.0725^3.5</f>
        <v>13.797941791554065</v>
      </c>
      <c r="AA182" s="43">
        <f>+Y182/3*2+3.6</f>
        <v>13.018520074073091</v>
      </c>
    </row>
    <row r="183" spans="2:27" s="20" customFormat="1" x14ac:dyDescent="0.25">
      <c r="B183" s="19" t="s">
        <v>88</v>
      </c>
      <c r="C183" s="44"/>
      <c r="D183" s="17">
        <f>+D176+D178+D179+D181</f>
        <v>0</v>
      </c>
      <c r="E183" s="17"/>
      <c r="F183" s="17"/>
      <c r="G183" s="17"/>
      <c r="H183" s="46">
        <f>+H176+H178+H179+H181+H180</f>
        <v>-8.4430000000000121</v>
      </c>
      <c r="I183" s="20">
        <v>-8.4429999999999996</v>
      </c>
      <c r="J183" s="39"/>
      <c r="K183" s="29"/>
      <c r="L183" s="29"/>
      <c r="M183" s="29"/>
      <c r="N183" s="29"/>
      <c r="O183" s="29"/>
      <c r="P183" s="29"/>
      <c r="W183" s="29"/>
      <c r="Z183" s="67">
        <f>10800*0.04^3</f>
        <v>0.69120000000000015</v>
      </c>
    </row>
    <row r="184" spans="2:27" s="20" customFormat="1" x14ac:dyDescent="0.25">
      <c r="B184" s="20" t="s">
        <v>91</v>
      </c>
      <c r="D184" s="14"/>
      <c r="E184" s="14"/>
      <c r="F184" s="14"/>
      <c r="G184" s="14"/>
      <c r="H184" s="14">
        <f>+H121-D121</f>
        <v>-10.186</v>
      </c>
      <c r="J184" s="14"/>
      <c r="K184" s="29">
        <v>8.6</v>
      </c>
      <c r="L184" s="29">
        <f>+K184*1.035</f>
        <v>8.9009999999999998</v>
      </c>
      <c r="M184" s="29">
        <f t="shared" ref="M184:O184" si="30">+L184*1.035</f>
        <v>9.212534999999999</v>
      </c>
      <c r="N184" s="29">
        <f t="shared" si="30"/>
        <v>9.5349737249999986</v>
      </c>
      <c r="O184" s="29">
        <f t="shared" si="30"/>
        <v>9.8686978053749979</v>
      </c>
      <c r="P184" s="29">
        <f>+(O184*1.035)/(S178-R184)</f>
        <v>226.98004952362493</v>
      </c>
      <c r="R184" s="41">
        <v>2.5000000000000001E-2</v>
      </c>
      <c r="W184" s="20">
        <f>+W182-20*5.77</f>
        <v>-21.214799259269071</v>
      </c>
      <c r="X184" s="29"/>
      <c r="Z184" s="67">
        <v>0.51</v>
      </c>
    </row>
    <row r="185" spans="2:27" s="20" customFormat="1" x14ac:dyDescent="0.25">
      <c r="D185" s="14"/>
      <c r="E185" s="14"/>
      <c r="F185" s="14"/>
      <c r="G185" s="14"/>
      <c r="H185" s="14"/>
      <c r="K185" s="29">
        <f>+K184/K179</f>
        <v>8.0373831775700921</v>
      </c>
      <c r="L185" s="29">
        <f t="shared" ref="L185:P185" si="31">+L184/L179</f>
        <v>7.7744781203598565</v>
      </c>
      <c r="M185" s="29">
        <f t="shared" si="31"/>
        <v>7.5201727612826641</v>
      </c>
      <c r="N185" s="29">
        <f t="shared" si="31"/>
        <v>7.2741858018014538</v>
      </c>
      <c r="O185" s="29">
        <f t="shared" si="31"/>
        <v>7.0362451447331811</v>
      </c>
      <c r="P185" s="29">
        <f t="shared" si="31"/>
        <v>151.24639096155434</v>
      </c>
      <c r="Q185" s="20">
        <f>SUM(K185:P185)</f>
        <v>188.88885596730159</v>
      </c>
      <c r="W185" s="20">
        <f>+W184/(K163-20)</f>
        <v>-4.6009107046777524</v>
      </c>
      <c r="Z185" s="67">
        <f>+(Z182+Z183+Z184)/0.975</f>
        <v>15.383735170824682</v>
      </c>
    </row>
    <row r="186" spans="2:27" s="12" customFormat="1" x14ac:dyDescent="0.25">
      <c r="D186" s="13"/>
      <c r="E186" s="13"/>
      <c r="F186" s="13"/>
      <c r="G186" s="13"/>
      <c r="H186" s="13"/>
    </row>
    <row r="187" spans="2:27" s="12" customFormat="1" x14ac:dyDescent="0.25">
      <c r="B187" s="12" t="s">
        <v>90</v>
      </c>
      <c r="D187" s="13"/>
      <c r="E187" s="13"/>
      <c r="F187" s="13"/>
      <c r="G187" s="13"/>
      <c r="H187" s="13">
        <f>+(H115+H117+H119-H149-H150-H151-H152-H153)/H19*365</f>
        <v>37.032691449260973</v>
      </c>
    </row>
    <row r="188" spans="2:27" s="12" customFormat="1" ht="15.75" thickBot="1" x14ac:dyDescent="0.3">
      <c r="B188" s="12" t="s">
        <v>93</v>
      </c>
      <c r="D188" s="13"/>
      <c r="E188" s="13"/>
      <c r="F188" s="13"/>
      <c r="G188" s="13"/>
      <c r="H188" s="13">
        <f>+H187/H19*365</f>
        <v>83.80203091818926</v>
      </c>
    </row>
    <row r="189" spans="2:27" s="12" customFormat="1" x14ac:dyDescent="0.25">
      <c r="B189" s="12" t="s">
        <v>103</v>
      </c>
      <c r="D189" s="13"/>
      <c r="E189" s="13"/>
      <c r="F189" s="13"/>
      <c r="G189" s="13"/>
      <c r="H189" s="13">
        <f>+(H115+H117-H150)/H19*365</f>
        <v>68.903661591111998</v>
      </c>
      <c r="K189" s="58" t="s">
        <v>165</v>
      </c>
      <c r="L189" s="59"/>
      <c r="M189" s="59"/>
      <c r="N189" s="59"/>
      <c r="O189" s="59"/>
      <c r="P189" s="59"/>
      <c r="Q189" s="59"/>
      <c r="R189" s="60"/>
      <c r="U189" s="74">
        <v>3.6999999999999998E-2</v>
      </c>
    </row>
    <row r="190" spans="2:27" s="12" customFormat="1" x14ac:dyDescent="0.25">
      <c r="B190" s="12" t="s">
        <v>105</v>
      </c>
      <c r="D190" s="13"/>
      <c r="E190" s="13"/>
      <c r="F190" s="13"/>
      <c r="G190" s="13"/>
      <c r="H190" s="13">
        <f>+H117/(H19*1.196)*365</f>
        <v>83.258818453470042</v>
      </c>
      <c r="K190" s="61" t="s">
        <v>166</v>
      </c>
      <c r="L190" s="62"/>
      <c r="M190" s="62"/>
      <c r="N190" s="62">
        <v>2.4</v>
      </c>
      <c r="O190" s="62" t="s">
        <v>168</v>
      </c>
      <c r="P190" s="62"/>
      <c r="Q190" s="62"/>
      <c r="R190" s="63"/>
      <c r="U190" s="74">
        <v>0.05</v>
      </c>
    </row>
    <row r="191" spans="2:27" s="12" customFormat="1" x14ac:dyDescent="0.25">
      <c r="B191" s="12" t="s">
        <v>104</v>
      </c>
      <c r="D191" s="13"/>
      <c r="E191" s="13"/>
      <c r="F191" s="13"/>
      <c r="G191" s="13"/>
      <c r="H191" s="13">
        <f>+H112/(H29+H30+H31)*365</f>
        <v>32.234202348876721</v>
      </c>
      <c r="K191" s="61" t="s">
        <v>169</v>
      </c>
      <c r="L191" s="62"/>
      <c r="M191" s="62"/>
      <c r="N191" s="62">
        <v>0.5</v>
      </c>
      <c r="O191" s="62" t="s">
        <v>167</v>
      </c>
      <c r="P191" s="62"/>
      <c r="Q191" s="62"/>
      <c r="R191" s="63"/>
      <c r="U191" s="12">
        <v>0.66</v>
      </c>
    </row>
    <row r="192" spans="2:27" s="12" customFormat="1" x14ac:dyDescent="0.25">
      <c r="B192" s="12" t="s">
        <v>106</v>
      </c>
      <c r="D192" s="13"/>
      <c r="E192" s="13"/>
      <c r="F192" s="13"/>
      <c r="G192" s="13"/>
      <c r="H192" s="13">
        <f>+H150/((H29+H30+H31)*1.196)*365</f>
        <v>65.787641446729822</v>
      </c>
      <c r="K192" s="61" t="s">
        <v>170</v>
      </c>
      <c r="L192" s="62"/>
      <c r="M192" s="62"/>
      <c r="N192" s="62">
        <v>0.5</v>
      </c>
      <c r="O192" s="62" t="s">
        <v>167</v>
      </c>
      <c r="P192" s="62"/>
      <c r="Q192" s="62"/>
      <c r="R192" s="63"/>
      <c r="U192" s="75">
        <f>+U189+U191*U190</f>
        <v>7.0000000000000007E-2</v>
      </c>
    </row>
    <row r="193" spans="2:18" s="12" customFormat="1" x14ac:dyDescent="0.25">
      <c r="D193" s="13"/>
      <c r="E193" s="13"/>
      <c r="F193" s="13"/>
      <c r="G193" s="13"/>
      <c r="H193" s="13"/>
      <c r="K193" s="61" t="s">
        <v>171</v>
      </c>
      <c r="L193" s="62"/>
      <c r="M193" s="62"/>
      <c r="N193" s="62">
        <v>0.2</v>
      </c>
      <c r="O193" s="62" t="s">
        <v>167</v>
      </c>
      <c r="P193" s="62"/>
      <c r="Q193" s="62"/>
      <c r="R193" s="63"/>
    </row>
    <row r="194" spans="2:18" s="12" customFormat="1" x14ac:dyDescent="0.25">
      <c r="B194" s="12" t="s">
        <v>107</v>
      </c>
      <c r="D194" s="13"/>
      <c r="E194" s="13"/>
      <c r="F194" s="13"/>
      <c r="G194" s="13"/>
      <c r="H194" s="13"/>
      <c r="K194" s="61" t="s">
        <v>172</v>
      </c>
      <c r="L194" s="62"/>
      <c r="M194" s="62"/>
      <c r="N194" s="62">
        <f>SUM(N190:N193)</f>
        <v>3.6</v>
      </c>
      <c r="O194" s="62"/>
      <c r="P194" s="62"/>
      <c r="Q194" s="62"/>
      <c r="R194" s="63"/>
    </row>
    <row r="195" spans="2:18" s="12" customFormat="1" x14ac:dyDescent="0.25">
      <c r="B195" s="12" t="s">
        <v>55</v>
      </c>
      <c r="D195" s="13"/>
      <c r="E195" s="13"/>
      <c r="F195" s="13"/>
      <c r="G195" s="13"/>
      <c r="H195" s="13"/>
      <c r="K195" s="61"/>
      <c r="L195" s="62"/>
      <c r="M195" s="62"/>
      <c r="N195" s="62"/>
      <c r="O195" s="62"/>
      <c r="P195" s="62"/>
      <c r="Q195" s="62"/>
      <c r="R195" s="63"/>
    </row>
    <row r="196" spans="2:18" s="12" customFormat="1" ht="15.75" thickBot="1" x14ac:dyDescent="0.3">
      <c r="B196" s="12" t="s">
        <v>108</v>
      </c>
      <c r="D196" s="13"/>
      <c r="E196" s="13"/>
      <c r="F196" s="13"/>
      <c r="G196" s="13"/>
      <c r="H196" s="13"/>
      <c r="K196" s="64" t="s">
        <v>173</v>
      </c>
      <c r="L196" s="65"/>
      <c r="M196" s="65"/>
      <c r="N196" s="65"/>
      <c r="O196" s="65"/>
      <c r="P196" s="65"/>
      <c r="Q196" s="65"/>
      <c r="R196" s="66"/>
    </row>
    <row r="197" spans="2:18" s="12" customFormat="1" x14ac:dyDescent="0.25">
      <c r="B197" s="12" t="s">
        <v>110</v>
      </c>
      <c r="D197" s="13"/>
      <c r="E197" s="13"/>
      <c r="F197" s="13"/>
      <c r="G197" s="13"/>
      <c r="H197" s="13"/>
    </row>
    <row r="198" spans="2:18" s="12" customFormat="1" x14ac:dyDescent="0.25">
      <c r="B198" s="12" t="s">
        <v>109</v>
      </c>
      <c r="D198" s="13"/>
      <c r="E198" s="13"/>
      <c r="F198" s="13"/>
      <c r="G198" s="13"/>
      <c r="H198" s="13"/>
    </row>
    <row r="199" spans="2:18" s="12" customFormat="1" x14ac:dyDescent="0.25">
      <c r="D199" s="13"/>
      <c r="E199" s="13"/>
      <c r="F199" s="13"/>
      <c r="G199" s="13"/>
      <c r="H199" s="13"/>
    </row>
    <row r="200" spans="2:18" s="12" customFormat="1" x14ac:dyDescent="0.25">
      <c r="B200" s="12" t="s">
        <v>112</v>
      </c>
      <c r="D200" s="13"/>
      <c r="E200" s="13"/>
      <c r="F200" s="13"/>
      <c r="G200" s="13"/>
      <c r="H200" s="13"/>
    </row>
    <row r="201" spans="2:18" s="12" customFormat="1" x14ac:dyDescent="0.25">
      <c r="D201" s="13"/>
      <c r="E201" s="13"/>
      <c r="F201" s="13"/>
      <c r="G201" s="13"/>
      <c r="H201" s="13"/>
    </row>
    <row r="202" spans="2:18" s="12" customFormat="1" x14ac:dyDescent="0.25">
      <c r="B202" s="12" t="s">
        <v>111</v>
      </c>
      <c r="D202" s="13"/>
      <c r="E202" s="13"/>
      <c r="F202" s="13"/>
      <c r="G202" s="13"/>
      <c r="H202" s="13"/>
    </row>
    <row r="203" spans="2:18" s="12" customFormat="1" x14ac:dyDescent="0.25">
      <c r="D203" s="13"/>
      <c r="E203" s="13"/>
      <c r="F203" s="13"/>
      <c r="G203" s="13"/>
      <c r="H203" s="13"/>
    </row>
  </sheetData>
  <pageMargins left="0.7" right="0.7" top="0.75" bottom="0.75" header="0.3" footer="0.3"/>
  <pageSetup paperSize="9" orientation="portrait" horizontalDpi="4294967293" verticalDpi="4294967293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W60"/>
  <sheetViews>
    <sheetView showGridLines="0" zoomScale="90" zoomScaleNormal="90" workbookViewId="0">
      <selection activeCell="B2" sqref="B2:V46"/>
    </sheetView>
  </sheetViews>
  <sheetFormatPr baseColWidth="10" defaultRowHeight="15" x14ac:dyDescent="0.25"/>
  <cols>
    <col min="1" max="1" width="11.42578125" style="78"/>
    <col min="2" max="2" width="27.42578125" style="78" customWidth="1"/>
    <col min="3" max="3" width="11.42578125" style="78"/>
    <col min="4" max="4" width="0.85546875" style="78" customWidth="1"/>
    <col min="5" max="5" width="11.42578125" style="78"/>
    <col min="6" max="6" width="0.85546875" style="78" customWidth="1"/>
    <col min="7" max="12" width="11.42578125" style="78"/>
    <col min="13" max="13" width="0.85546875" style="78" customWidth="1"/>
    <col min="14" max="17" width="11.42578125" style="78"/>
    <col min="18" max="18" width="11.42578125" style="78" customWidth="1"/>
    <col min="19" max="16384" width="11.42578125" style="78"/>
  </cols>
  <sheetData>
    <row r="2" spans="2:22" x14ac:dyDescent="0.25">
      <c r="B2" s="480" t="s">
        <v>429</v>
      </c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7" t="s">
        <v>191</v>
      </c>
      <c r="O2" s="77" t="s">
        <v>191</v>
      </c>
      <c r="R2" s="507" t="s">
        <v>417</v>
      </c>
      <c r="S2" s="517"/>
      <c r="T2" s="508"/>
      <c r="U2" s="509" t="s">
        <v>397</v>
      </c>
      <c r="V2" s="510" t="s">
        <v>389</v>
      </c>
    </row>
    <row r="3" spans="2:22" ht="15.75" thickBot="1" x14ac:dyDescent="0.3">
      <c r="B3" s="79" t="s">
        <v>198</v>
      </c>
      <c r="C3" s="80">
        <v>2009</v>
      </c>
      <c r="D3" s="80"/>
      <c r="E3" s="80">
        <v>2010</v>
      </c>
      <c r="F3" s="80"/>
      <c r="G3" s="80">
        <v>2011</v>
      </c>
      <c r="H3" s="80">
        <f>+G3+1</f>
        <v>2012</v>
      </c>
      <c r="I3" s="80">
        <f t="shared" ref="I3:K3" si="0">+H3+1</f>
        <v>2013</v>
      </c>
      <c r="J3" s="80">
        <f t="shared" si="0"/>
        <v>2014</v>
      </c>
      <c r="K3" s="80">
        <f t="shared" si="0"/>
        <v>2015</v>
      </c>
      <c r="L3" s="81" t="s">
        <v>193</v>
      </c>
      <c r="M3" s="79"/>
      <c r="N3" s="82" t="s">
        <v>194</v>
      </c>
      <c r="O3" s="82" t="s">
        <v>192</v>
      </c>
      <c r="R3" s="414" t="str">
        <f>+'Pré valo Sorégies'!Q3</f>
        <v>OAT 10 ans (moy 3 mois)</v>
      </c>
      <c r="S3" s="101"/>
      <c r="T3" s="401"/>
      <c r="U3" s="402">
        <f>+'Pré valo Sorégies'!T3</f>
        <v>3.5000000000000003E-2</v>
      </c>
      <c r="V3" s="432">
        <v>4.2000000000000003E-2</v>
      </c>
    </row>
    <row r="4" spans="2:22" x14ac:dyDescent="0.25">
      <c r="N4" s="83"/>
      <c r="O4" s="83"/>
      <c r="R4" s="414" t="s">
        <v>180</v>
      </c>
      <c r="S4" s="101"/>
      <c r="T4" s="401"/>
      <c r="U4" s="402">
        <f>+'Pré valo Sorégies'!T4</f>
        <v>4.1000000000000002E-2</v>
      </c>
      <c r="V4" s="432">
        <v>4.4999999999999998E-2</v>
      </c>
    </row>
    <row r="5" spans="2:22" x14ac:dyDescent="0.25">
      <c r="B5" s="78" t="s">
        <v>177</v>
      </c>
      <c r="C5" s="89">
        <f>+'Conso Séolis'!H19</f>
        <v>161.29599999999999</v>
      </c>
      <c r="D5" s="89"/>
      <c r="E5" s="89"/>
      <c r="F5" s="89"/>
      <c r="G5" s="89">
        <f t="shared" ref="G5" si="1">+C5*(1+$N5)</f>
        <v>164.52191999999999</v>
      </c>
      <c r="H5" s="89">
        <f>+G5*(1+$N5)</f>
        <v>167.81235839999999</v>
      </c>
      <c r="I5" s="89">
        <f>+H5*(1+$N5)</f>
        <v>171.168605568</v>
      </c>
      <c r="J5" s="89">
        <f>+I5*(1+$N5)</f>
        <v>174.59197767936001</v>
      </c>
      <c r="K5" s="89">
        <f>+J5*(1+$N5)</f>
        <v>178.08381723294721</v>
      </c>
      <c r="L5" s="89">
        <f>+K5*(1+O5)</f>
        <v>181.64549357760615</v>
      </c>
      <c r="N5" s="85">
        <v>0.02</v>
      </c>
      <c r="O5" s="526">
        <f>+N5</f>
        <v>0.02</v>
      </c>
      <c r="R5" s="414" t="s">
        <v>181</v>
      </c>
      <c r="S5" s="101"/>
      <c r="T5" s="401"/>
      <c r="U5" s="403">
        <v>0.66</v>
      </c>
      <c r="V5" s="434">
        <v>0.66</v>
      </c>
    </row>
    <row r="6" spans="2:22" x14ac:dyDescent="0.25">
      <c r="C6" s="89"/>
      <c r="D6" s="89"/>
      <c r="E6" s="89"/>
      <c r="F6" s="89"/>
      <c r="G6" s="89"/>
      <c r="H6" s="89"/>
      <c r="I6" s="89"/>
      <c r="J6" s="89"/>
      <c r="K6" s="89"/>
      <c r="L6" s="89"/>
      <c r="N6" s="83"/>
      <c r="O6" s="527"/>
      <c r="R6" s="415" t="s">
        <v>377</v>
      </c>
      <c r="S6" s="101"/>
      <c r="T6" s="401"/>
      <c r="U6" s="428">
        <f>+U5*(1+(1-T27)*U8/U7)</f>
        <v>1.3133999999999999</v>
      </c>
      <c r="V6" s="434">
        <f>+V5*(1+(1-V13)*V8/V7)</f>
        <v>1.3133999999999999</v>
      </c>
    </row>
    <row r="7" spans="2:22" x14ac:dyDescent="0.25">
      <c r="B7" s="78" t="s">
        <v>175</v>
      </c>
      <c r="C7" s="89">
        <f>+'Conso Séolis'!H40</f>
        <v>24.61099999999999</v>
      </c>
      <c r="D7" s="89"/>
      <c r="E7" s="89"/>
      <c r="F7" s="89"/>
      <c r="G7" s="419">
        <f>+C7*(1+$N7)+1.555</f>
        <v>26.658219999999989</v>
      </c>
      <c r="H7" s="89">
        <f>+G7*(1+$N7)</f>
        <v>27.19138439999999</v>
      </c>
      <c r="I7" s="89">
        <f t="shared" ref="I7:K7" si="2">+H7*(1+$N7)</f>
        <v>27.73521208799999</v>
      </c>
      <c r="J7" s="89">
        <f t="shared" si="2"/>
        <v>28.28991632975999</v>
      </c>
      <c r="K7" s="89">
        <f t="shared" si="2"/>
        <v>28.85571465635519</v>
      </c>
      <c r="L7" s="89">
        <f>+K7*(1+O7)</f>
        <v>29.432828949482293</v>
      </c>
      <c r="N7" s="85">
        <f>+N5</f>
        <v>0.02</v>
      </c>
      <c r="O7" s="526">
        <f>+O5</f>
        <v>0.02</v>
      </c>
      <c r="R7" s="415" t="s">
        <v>375</v>
      </c>
      <c r="S7" s="101"/>
      <c r="T7" s="401"/>
      <c r="U7" s="429">
        <v>40</v>
      </c>
      <c r="V7" s="436">
        <v>40</v>
      </c>
    </row>
    <row r="8" spans="2:22" x14ac:dyDescent="0.25">
      <c r="C8" s="89"/>
      <c r="D8" s="89"/>
      <c r="E8" s="89"/>
      <c r="F8" s="89"/>
      <c r="G8" s="89"/>
      <c r="H8" s="89"/>
      <c r="I8" s="89"/>
      <c r="J8" s="89"/>
      <c r="K8" s="89"/>
      <c r="L8" s="89"/>
      <c r="N8" s="83"/>
      <c r="O8" s="527"/>
      <c r="R8" s="415" t="s">
        <v>376</v>
      </c>
      <c r="S8" s="101"/>
      <c r="T8" s="401"/>
      <c r="U8" s="429">
        <v>60</v>
      </c>
      <c r="V8" s="436">
        <v>60</v>
      </c>
    </row>
    <row r="9" spans="2:22" x14ac:dyDescent="0.25">
      <c r="B9" s="78" t="s">
        <v>174</v>
      </c>
      <c r="C9" s="89">
        <f>-'Conso Séolis'!H42-'Conso Séolis'!H43-'Conso Séolis'!H44-'Conso Séolis'!H45</f>
        <v>-15.675000000000001</v>
      </c>
      <c r="D9" s="89"/>
      <c r="E9" s="89"/>
      <c r="F9" s="89"/>
      <c r="G9" s="89">
        <f>+C9*(1+$N9)</f>
        <v>-15.9885</v>
      </c>
      <c r="H9" s="89">
        <f>+G9*(1+$N9)</f>
        <v>-16.30827</v>
      </c>
      <c r="I9" s="89">
        <f>+H9*(1+$N9)</f>
        <v>-16.634435400000001</v>
      </c>
      <c r="J9" s="89">
        <f>+I9*(1+$N9)</f>
        <v>-16.967124108</v>
      </c>
      <c r="K9" s="89">
        <f>+J9*(1+$N9)</f>
        <v>-17.306466590159999</v>
      </c>
      <c r="L9" s="89">
        <f>+K9*(1+O9)</f>
        <v>-17.652595921963201</v>
      </c>
      <c r="N9" s="85">
        <f>+N7</f>
        <v>0.02</v>
      </c>
      <c r="O9" s="526">
        <f>+O7</f>
        <v>0.02</v>
      </c>
      <c r="R9" s="414" t="s">
        <v>182</v>
      </c>
      <c r="S9" s="101"/>
      <c r="T9" s="401"/>
      <c r="U9" s="406">
        <f>+U7/(U7+U8)</f>
        <v>0.4</v>
      </c>
      <c r="V9" s="438">
        <f>+V7/(V7+V8)</f>
        <v>0.4</v>
      </c>
    </row>
    <row r="10" spans="2:22" x14ac:dyDescent="0.25">
      <c r="C10" s="89"/>
      <c r="D10" s="89"/>
      <c r="E10" s="89"/>
      <c r="F10" s="89"/>
      <c r="G10" s="89"/>
      <c r="H10" s="89"/>
      <c r="I10" s="89"/>
      <c r="J10" s="89"/>
      <c r="K10" s="89"/>
      <c r="L10" s="89"/>
      <c r="N10" s="83"/>
      <c r="O10" s="527"/>
      <c r="R10" s="415" t="s">
        <v>373</v>
      </c>
      <c r="S10" s="101"/>
      <c r="T10" s="401"/>
      <c r="U10" s="405">
        <f>+U8/(U7+U8)</f>
        <v>0.6</v>
      </c>
      <c r="V10" s="440">
        <f>+V8/(V7+V8)</f>
        <v>0.6</v>
      </c>
    </row>
    <row r="11" spans="2:22" x14ac:dyDescent="0.25">
      <c r="B11" s="78" t="s">
        <v>26</v>
      </c>
      <c r="C11" s="89">
        <f>+C7+C9</f>
        <v>8.9359999999999893</v>
      </c>
      <c r="D11" s="89"/>
      <c r="E11" s="89"/>
      <c r="F11" s="89"/>
      <c r="G11" s="89">
        <f>+C11*(1+$N11)</f>
        <v>9.1147199999999895</v>
      </c>
      <c r="H11" s="89">
        <f>+G11*(1+$N11)</f>
        <v>9.2970143999999895</v>
      </c>
      <c r="I11" s="89">
        <f>+H11*(1+$N11)</f>
        <v>9.4829546879999889</v>
      </c>
      <c r="J11" s="89">
        <f>+I11*(1+$N11)</f>
        <v>9.6726137817599884</v>
      </c>
      <c r="K11" s="89">
        <f>+J11*(1+$N11)</f>
        <v>9.866066057395189</v>
      </c>
      <c r="L11" s="89">
        <f>+L7+L9</f>
        <v>11.780233027519092</v>
      </c>
      <c r="N11" s="85">
        <f>+N9</f>
        <v>0.02</v>
      </c>
      <c r="O11" s="526">
        <f>+O9</f>
        <v>0.02</v>
      </c>
      <c r="R11" s="415" t="s">
        <v>374</v>
      </c>
      <c r="S11" s="101"/>
      <c r="T11" s="401"/>
      <c r="U11" s="405">
        <f>+U3+U4*U6</f>
        <v>8.8849399999999995E-2</v>
      </c>
      <c r="V11" s="440">
        <f>+V3+V4*V6</f>
        <v>0.101103</v>
      </c>
    </row>
    <row r="12" spans="2:22" x14ac:dyDescent="0.25">
      <c r="C12" s="89"/>
      <c r="D12" s="89"/>
      <c r="E12" s="89"/>
      <c r="F12" s="89"/>
      <c r="G12" s="89"/>
      <c r="H12" s="89"/>
      <c r="I12" s="89"/>
      <c r="J12" s="89"/>
      <c r="K12" s="89"/>
      <c r="L12" s="89"/>
      <c r="N12" s="83"/>
      <c r="O12" s="527"/>
      <c r="R12" s="414" t="s">
        <v>372</v>
      </c>
      <c r="S12" s="101"/>
      <c r="T12" s="401"/>
      <c r="U12" s="406">
        <v>4.4999999999999998E-2</v>
      </c>
      <c r="V12" s="438">
        <f>+U12</f>
        <v>4.4999999999999998E-2</v>
      </c>
    </row>
    <row r="13" spans="2:22" ht="15.75" thickBot="1" x14ac:dyDescent="0.3">
      <c r="B13" s="91" t="s">
        <v>176</v>
      </c>
      <c r="C13" s="94">
        <f>-'Conso Séolis'!H73</f>
        <v>-3.1070000000000002</v>
      </c>
      <c r="D13" s="94"/>
      <c r="E13" s="94"/>
      <c r="F13" s="94"/>
      <c r="G13" s="94">
        <f t="shared" ref="G13:L13" si="3">-G11*$T27</f>
        <v>-3.0990047999999968</v>
      </c>
      <c r="H13" s="94">
        <f t="shared" si="3"/>
        <v>-3.1609848959999964</v>
      </c>
      <c r="I13" s="94">
        <f t="shared" si="3"/>
        <v>-3.2242045939199966</v>
      </c>
      <c r="J13" s="94">
        <f t="shared" si="3"/>
        <v>-3.2886886857983963</v>
      </c>
      <c r="K13" s="94">
        <f t="shared" si="3"/>
        <v>-3.3544624595143646</v>
      </c>
      <c r="L13" s="94">
        <f t="shared" si="3"/>
        <v>-4.0052792293564918</v>
      </c>
      <c r="M13" s="91"/>
      <c r="N13" s="91"/>
      <c r="O13" s="92"/>
      <c r="R13" s="414" t="str">
        <f>+R27</f>
        <v>Taux d'impôts:</v>
      </c>
      <c r="S13" s="101"/>
      <c r="T13" s="101"/>
      <c r="U13" s="502">
        <f>+T27</f>
        <v>0.34</v>
      </c>
      <c r="V13" s="511">
        <f>+T27</f>
        <v>0.34</v>
      </c>
    </row>
    <row r="14" spans="2:22" x14ac:dyDescent="0.25">
      <c r="C14" s="89"/>
      <c r="D14" s="89"/>
      <c r="E14" s="89"/>
      <c r="F14" s="89"/>
      <c r="G14" s="89"/>
      <c r="H14" s="89"/>
      <c r="I14" s="89"/>
      <c r="J14" s="89"/>
      <c r="K14" s="89"/>
      <c r="L14" s="89"/>
      <c r="N14" s="83"/>
      <c r="O14" s="83"/>
      <c r="R14" s="414"/>
      <c r="S14" s="101"/>
      <c r="T14" s="101"/>
      <c r="U14" s="101"/>
      <c r="V14" s="512"/>
    </row>
    <row r="15" spans="2:22" x14ac:dyDescent="0.25">
      <c r="C15" s="89"/>
      <c r="D15" s="89"/>
      <c r="E15" s="89"/>
      <c r="F15" s="89"/>
      <c r="G15" s="89"/>
      <c r="H15" s="89"/>
      <c r="I15" s="89"/>
      <c r="J15" s="89"/>
      <c r="K15" s="89"/>
      <c r="L15" s="89"/>
      <c r="N15" s="83"/>
      <c r="O15" s="83"/>
      <c r="R15" s="513" t="s">
        <v>416</v>
      </c>
      <c r="S15" s="518"/>
      <c r="T15" s="514"/>
      <c r="U15" s="515">
        <f>+U11*U9+U12*U10*(1-T27)</f>
        <v>5.3359759999999992E-2</v>
      </c>
      <c r="V15" s="516">
        <f>+V11*V9+V10*(V12*(1-V13))</f>
        <v>5.8261199999999999E-2</v>
      </c>
    </row>
    <row r="16" spans="2:22" x14ac:dyDescent="0.25">
      <c r="C16" s="89"/>
      <c r="D16" s="89"/>
      <c r="E16" s="89"/>
      <c r="F16" s="89"/>
      <c r="G16" s="89"/>
      <c r="H16" s="89"/>
      <c r="I16" s="89"/>
      <c r="J16" s="89"/>
      <c r="K16" s="89"/>
      <c r="L16" s="89"/>
      <c r="N16" s="100"/>
      <c r="O16" s="100"/>
    </row>
    <row r="17" spans="2:23" ht="15.75" thickBot="1" x14ac:dyDescent="0.3">
      <c r="B17" s="93" t="s">
        <v>199</v>
      </c>
      <c r="C17" s="95"/>
      <c r="D17" s="95"/>
      <c r="E17" s="95"/>
      <c r="F17" s="95"/>
      <c r="G17" s="95"/>
      <c r="H17" s="95"/>
      <c r="I17" s="95"/>
      <c r="J17" s="95"/>
      <c r="K17" s="95"/>
      <c r="L17" s="95"/>
      <c r="M17" s="101"/>
      <c r="N17" s="100"/>
      <c r="O17" s="100"/>
      <c r="R17" s="463" t="s">
        <v>423</v>
      </c>
      <c r="S17" s="76"/>
      <c r="T17" s="441"/>
      <c r="U17" s="441"/>
      <c r="V17" s="453"/>
      <c r="W17" s="101"/>
    </row>
    <row r="18" spans="2:23" x14ac:dyDescent="0.25">
      <c r="C18" s="89"/>
      <c r="D18" s="89"/>
      <c r="E18" s="89"/>
      <c r="F18" s="89"/>
      <c r="G18" s="89"/>
      <c r="H18" s="89"/>
      <c r="I18" s="89"/>
      <c r="J18" s="89"/>
      <c r="K18" s="89"/>
      <c r="L18" s="89"/>
      <c r="N18" s="100"/>
      <c r="O18" s="100"/>
      <c r="R18" s="531" t="s">
        <v>427</v>
      </c>
      <c r="S18" s="101"/>
      <c r="T18" s="430"/>
      <c r="U18" s="430"/>
      <c r="V18" s="451"/>
      <c r="W18" s="101"/>
    </row>
    <row r="19" spans="2:23" x14ac:dyDescent="0.25">
      <c r="B19" s="78" t="str">
        <f>+B7</f>
        <v>Résultat Brut d'Exploitation</v>
      </c>
      <c r="C19" s="89"/>
      <c r="D19" s="89"/>
      <c r="E19" s="89"/>
      <c r="F19" s="89"/>
      <c r="G19" s="89">
        <f t="shared" ref="G19:L19" si="4">+G7</f>
        <v>26.658219999999989</v>
      </c>
      <c r="H19" s="89">
        <f t="shared" si="4"/>
        <v>27.19138439999999</v>
      </c>
      <c r="I19" s="89">
        <f t="shared" si="4"/>
        <v>27.73521208799999</v>
      </c>
      <c r="J19" s="89">
        <f t="shared" si="4"/>
        <v>28.28991632975999</v>
      </c>
      <c r="K19" s="89">
        <f t="shared" si="4"/>
        <v>28.85571465635519</v>
      </c>
      <c r="L19" s="89">
        <f t="shared" si="4"/>
        <v>29.432828949482293</v>
      </c>
      <c r="N19" s="83"/>
      <c r="O19" s="83"/>
      <c r="R19" s="454" t="s">
        <v>424</v>
      </c>
      <c r="S19" s="101"/>
      <c r="T19" s="101"/>
      <c r="U19" s="101"/>
      <c r="V19" s="451"/>
      <c r="W19" s="101"/>
    </row>
    <row r="20" spans="2:23" x14ac:dyDescent="0.25">
      <c r="B20" s="78" t="s">
        <v>179</v>
      </c>
      <c r="C20" s="89"/>
      <c r="D20" s="89"/>
      <c r="E20" s="89"/>
      <c r="F20" s="89"/>
      <c r="G20" s="89">
        <f t="shared" ref="G20:L20" si="5">+G13</f>
        <v>-3.0990047999999968</v>
      </c>
      <c r="H20" s="89">
        <f t="shared" si="5"/>
        <v>-3.1609848959999964</v>
      </c>
      <c r="I20" s="89">
        <f t="shared" si="5"/>
        <v>-3.2242045939199966</v>
      </c>
      <c r="J20" s="89">
        <f t="shared" si="5"/>
        <v>-3.2886886857983963</v>
      </c>
      <c r="K20" s="89">
        <f t="shared" si="5"/>
        <v>-3.3544624595143646</v>
      </c>
      <c r="L20" s="89">
        <f t="shared" si="5"/>
        <v>-4.0052792293564918</v>
      </c>
      <c r="N20" s="83"/>
      <c r="O20" s="83"/>
      <c r="R20" s="465"/>
      <c r="S20" s="101"/>
      <c r="T20" s="101"/>
      <c r="U20" s="101"/>
      <c r="V20" s="503"/>
      <c r="W20" s="101"/>
    </row>
    <row r="21" spans="2:23" x14ac:dyDescent="0.25">
      <c r="B21" s="78" t="s">
        <v>90</v>
      </c>
      <c r="C21" s="89"/>
      <c r="D21" s="89"/>
      <c r="E21" s="89"/>
      <c r="F21" s="89"/>
      <c r="G21" s="89">
        <f>-(G5-C5)*$T28/365</f>
        <v>-0.32730000000000015</v>
      </c>
      <c r="H21" s="89">
        <f>-(H5-G5)*$T28/365</f>
        <v>-0.33384599999999981</v>
      </c>
      <c r="I21" s="89">
        <f>-(I5-H5)*$T28/365</f>
        <v>-0.34052292000000089</v>
      </c>
      <c r="J21" s="89">
        <f>-(J5-I5)*$T28/365</f>
        <v>-0.34733337840000084</v>
      </c>
      <c r="K21" s="89">
        <f>-(K5-J5)*$T28/365</f>
        <v>-0.35428004596799967</v>
      </c>
      <c r="L21" s="89">
        <f>-L5*O7*T28/365</f>
        <v>-0.36859295982510715</v>
      </c>
      <c r="N21" s="83"/>
      <c r="O21" s="83"/>
      <c r="R21" s="464" t="s">
        <v>420</v>
      </c>
      <c r="S21" s="101"/>
      <c r="T21" s="430"/>
      <c r="U21" s="430"/>
      <c r="V21" s="451"/>
      <c r="W21" s="101"/>
    </row>
    <row r="22" spans="2:23" s="143" customFormat="1" x14ac:dyDescent="0.25">
      <c r="B22" s="143" t="s">
        <v>261</v>
      </c>
      <c r="C22" s="420"/>
      <c r="D22" s="420"/>
      <c r="E22" s="420"/>
      <c r="F22" s="420"/>
      <c r="G22" s="420">
        <f>+'Conso Séolis'!H180</f>
        <v>0.84299999999999997</v>
      </c>
      <c r="H22" s="420">
        <f>+G22*(1+$N22)</f>
        <v>0.85985999999999996</v>
      </c>
      <c r="I22" s="420">
        <f t="shared" ref="I22:L22" si="6">+H22*(1+$N22)</f>
        <v>0.87705719999999998</v>
      </c>
      <c r="J22" s="420">
        <f t="shared" si="6"/>
        <v>0.89459834400000005</v>
      </c>
      <c r="K22" s="420">
        <f t="shared" si="6"/>
        <v>0.9124903108800001</v>
      </c>
      <c r="L22" s="532">
        <f t="shared" si="6"/>
        <v>0.93074011709760007</v>
      </c>
      <c r="N22" s="421">
        <v>0.02</v>
      </c>
      <c r="O22" s="422"/>
      <c r="R22" s="454" t="s">
        <v>421</v>
      </c>
      <c r="S22" s="101"/>
      <c r="T22" s="430"/>
      <c r="U22" s="430"/>
      <c r="V22" s="451"/>
      <c r="W22" s="404"/>
    </row>
    <row r="23" spans="2:23" x14ac:dyDescent="0.25">
      <c r="B23" s="78" t="s">
        <v>84</v>
      </c>
      <c r="C23" s="89"/>
      <c r="D23" s="89"/>
      <c r="E23" s="89"/>
      <c r="F23" s="89"/>
      <c r="G23" s="89">
        <v>-25</v>
      </c>
      <c r="H23" s="89">
        <f>+(G23+2.4)*(1+$N23)</f>
        <v>-23.052000000000003</v>
      </c>
      <c r="I23" s="89">
        <f>+H23*(1+$N23)</f>
        <v>-23.513040000000004</v>
      </c>
      <c r="J23" s="89">
        <f>+I23*(1+$N23)</f>
        <v>-23.983300800000006</v>
      </c>
      <c r="K23" s="89">
        <f>+J23*(1+$N23)</f>
        <v>-24.462966816000005</v>
      </c>
      <c r="L23" s="419">
        <f>-20-1.2</f>
        <v>-21.2</v>
      </c>
      <c r="N23" s="85">
        <f>+N22</f>
        <v>0.02</v>
      </c>
      <c r="O23" s="83"/>
      <c r="R23" s="465" t="s">
        <v>421</v>
      </c>
      <c r="S23" s="404"/>
      <c r="T23" s="101"/>
      <c r="U23" s="101"/>
      <c r="V23" s="503"/>
      <c r="W23" s="101"/>
    </row>
    <row r="24" spans="2:23" ht="3" customHeight="1" x14ac:dyDescent="0.25">
      <c r="C24" s="89"/>
      <c r="D24" s="89"/>
      <c r="E24" s="89"/>
      <c r="F24" s="89"/>
      <c r="G24" s="89"/>
      <c r="H24" s="89"/>
      <c r="I24" s="89"/>
      <c r="J24" s="89"/>
      <c r="K24" s="89"/>
      <c r="L24" s="89"/>
      <c r="R24" s="465"/>
      <c r="S24" s="101"/>
      <c r="T24" s="101"/>
      <c r="U24" s="101"/>
      <c r="V24" s="503"/>
      <c r="W24" s="101"/>
    </row>
    <row r="25" spans="2:23" x14ac:dyDescent="0.25">
      <c r="B25" s="96" t="s">
        <v>178</v>
      </c>
      <c r="C25" s="97"/>
      <c r="D25" s="97"/>
      <c r="E25" s="97"/>
      <c r="F25" s="97"/>
      <c r="G25" s="97">
        <f>SUM(G19:G23)</f>
        <v>-0.92508480000000759</v>
      </c>
      <c r="H25" s="97">
        <f t="shared" ref="H25:J25" si="7">SUM(H19:H23)</f>
        <v>1.5044135039999915</v>
      </c>
      <c r="I25" s="97">
        <f t="shared" si="7"/>
        <v>1.5345017740799882</v>
      </c>
      <c r="J25" s="97">
        <f t="shared" si="7"/>
        <v>1.5651918095615827</v>
      </c>
      <c r="K25" s="97">
        <f>SUM(K19:K23)</f>
        <v>1.5964956457528174</v>
      </c>
      <c r="L25" s="97">
        <f>SUM(L19:L23)</f>
        <v>4.789696877398292</v>
      </c>
      <c r="M25" s="88"/>
      <c r="N25" s="88"/>
      <c r="O25" s="88"/>
      <c r="R25" s="454" t="s">
        <v>422</v>
      </c>
      <c r="S25" s="101"/>
      <c r="T25" s="101"/>
      <c r="U25" s="101"/>
      <c r="V25" s="503"/>
      <c r="W25" s="101"/>
    </row>
    <row r="26" spans="2:23" x14ac:dyDescent="0.25">
      <c r="C26" s="89"/>
      <c r="D26" s="89"/>
      <c r="E26" s="89"/>
      <c r="F26" s="89"/>
      <c r="G26" s="89"/>
      <c r="H26" s="89"/>
      <c r="I26" s="89"/>
      <c r="J26" s="89"/>
      <c r="K26" s="89"/>
      <c r="L26" s="89"/>
      <c r="R26" s="465"/>
      <c r="S26" s="101"/>
      <c r="T26" s="430"/>
      <c r="U26" s="430"/>
      <c r="V26" s="451"/>
      <c r="W26" s="101"/>
    </row>
    <row r="27" spans="2:23" x14ac:dyDescent="0.25">
      <c r="B27" s="78" t="s">
        <v>183</v>
      </c>
      <c r="C27" s="89"/>
      <c r="D27" s="89"/>
      <c r="E27" s="89"/>
      <c r="F27" s="89"/>
      <c r="G27" s="89"/>
      <c r="H27" s="89"/>
      <c r="I27" s="89"/>
      <c r="J27" s="89"/>
      <c r="K27" s="89"/>
      <c r="L27" s="90">
        <f>+L25/(U15-O7)</f>
        <v>143.57707841418204</v>
      </c>
      <c r="R27" s="464" t="s">
        <v>419</v>
      </c>
      <c r="S27" s="101"/>
      <c r="T27" s="502">
        <v>0.34</v>
      </c>
      <c r="U27" s="101"/>
      <c r="V27" s="503"/>
      <c r="W27" s="101"/>
    </row>
    <row r="28" spans="2:23" x14ac:dyDescent="0.25">
      <c r="C28" s="89"/>
      <c r="D28" s="89"/>
      <c r="E28" s="89"/>
      <c r="F28" s="89"/>
      <c r="G28" s="89"/>
      <c r="H28" s="89"/>
      <c r="I28" s="89"/>
      <c r="J28" s="89"/>
      <c r="K28" s="89"/>
      <c r="L28" s="89"/>
      <c r="R28" s="111" t="s">
        <v>93</v>
      </c>
      <c r="S28" s="504"/>
      <c r="T28" s="505">
        <f>+'Conso Séolis'!H187</f>
        <v>37.032691449260973</v>
      </c>
      <c r="U28" s="504"/>
      <c r="V28" s="506"/>
      <c r="W28" s="101"/>
    </row>
    <row r="29" spans="2:23" x14ac:dyDescent="0.25">
      <c r="B29" s="78" t="s">
        <v>184</v>
      </c>
      <c r="C29" s="89"/>
      <c r="D29" s="89"/>
      <c r="E29" s="89"/>
      <c r="F29" s="89"/>
      <c r="G29" s="89">
        <f>+(1+U15)</f>
        <v>1.05335976</v>
      </c>
      <c r="H29" s="89">
        <f>+G29*(1+$U15)</f>
        <v>1.1095667839872576</v>
      </c>
      <c r="I29" s="89">
        <f>+H29*(1+$U15)</f>
        <v>1.1687730012847894</v>
      </c>
      <c r="J29" s="89">
        <f>+I29*(1+$U15)</f>
        <v>1.2311384481278256</v>
      </c>
      <c r="K29" s="89">
        <f>+J29*(1+$U15)</f>
        <v>1.2968317002466987</v>
      </c>
      <c r="L29" s="89">
        <f>+K29*(1+$U15)</f>
        <v>1.3660303285322544</v>
      </c>
      <c r="R29" s="430"/>
      <c r="S29" s="430"/>
      <c r="T29" s="430"/>
      <c r="U29" s="430"/>
      <c r="V29" s="430"/>
      <c r="W29" s="101"/>
    </row>
    <row r="30" spans="2:23" x14ac:dyDescent="0.25">
      <c r="C30" s="89"/>
      <c r="D30" s="89"/>
      <c r="E30" s="89"/>
      <c r="F30" s="89"/>
      <c r="G30" s="89"/>
      <c r="H30" s="89"/>
      <c r="I30" s="89"/>
      <c r="J30" s="89"/>
      <c r="K30" s="89"/>
      <c r="L30" s="89"/>
    </row>
    <row r="31" spans="2:23" x14ac:dyDescent="0.25">
      <c r="B31" s="98" t="s">
        <v>185</v>
      </c>
      <c r="C31" s="99"/>
      <c r="D31" s="99"/>
      <c r="E31" s="99"/>
      <c r="F31" s="99"/>
      <c r="G31" s="99">
        <f>+G25/G29</f>
        <v>-0.87822302989816847</v>
      </c>
      <c r="H31" s="99">
        <f t="shared" ref="H31:K31" si="8">+H25/H29</f>
        <v>1.3558566511822225</v>
      </c>
      <c r="I31" s="99">
        <f t="shared" si="8"/>
        <v>1.3129168558763478</v>
      </c>
      <c r="J31" s="99">
        <f t="shared" si="8"/>
        <v>1.2713369580340435</v>
      </c>
      <c r="K31" s="99">
        <f t="shared" si="8"/>
        <v>1.2310738898880349</v>
      </c>
      <c r="L31" s="99">
        <f>+L27/L29</f>
        <v>105.10533727933401</v>
      </c>
    </row>
    <row r="32" spans="2:23" x14ac:dyDescent="0.25">
      <c r="C32" s="89"/>
      <c r="D32" s="89"/>
      <c r="E32" s="89"/>
      <c r="F32" s="89"/>
      <c r="G32" s="89"/>
      <c r="H32" s="89"/>
      <c r="I32" s="89"/>
      <c r="J32" s="89"/>
      <c r="K32" s="89"/>
      <c r="L32" s="89"/>
    </row>
    <row r="33" spans="2:23" x14ac:dyDescent="0.25">
      <c r="B33" s="88" t="s">
        <v>186</v>
      </c>
      <c r="C33" s="90"/>
      <c r="D33" s="90"/>
      <c r="E33" s="90"/>
      <c r="F33" s="90"/>
      <c r="G33" s="90">
        <f>SUM(G31:L31)</f>
        <v>109.39829860441648</v>
      </c>
      <c r="H33" s="89"/>
      <c r="I33" s="89"/>
      <c r="J33" s="89"/>
      <c r="K33" s="89"/>
      <c r="L33" s="89"/>
    </row>
    <row r="34" spans="2:23" x14ac:dyDescent="0.25">
      <c r="B34" s="78" t="s">
        <v>187</v>
      </c>
      <c r="C34" s="89"/>
      <c r="D34" s="89"/>
      <c r="E34" s="89"/>
      <c r="F34" s="89"/>
      <c r="G34" s="89">
        <f>-'Conso Séolis'!H146-'Conso Séolis'!H147</f>
        <v>-3.7719999999999998</v>
      </c>
      <c r="H34" s="89"/>
      <c r="I34" s="89"/>
      <c r="J34" s="89"/>
      <c r="K34" s="89"/>
      <c r="L34" s="89"/>
    </row>
    <row r="35" spans="2:23" x14ac:dyDescent="0.25">
      <c r="B35" s="78" t="s">
        <v>188</v>
      </c>
      <c r="C35" s="89"/>
      <c r="D35" s="89"/>
      <c r="E35" s="89"/>
      <c r="F35" s="89"/>
      <c r="G35" s="89">
        <f>+'Conso Séolis'!H121</f>
        <v>45.314</v>
      </c>
      <c r="H35" s="89"/>
      <c r="I35" s="89"/>
      <c r="J35" s="89"/>
      <c r="K35" s="89"/>
      <c r="L35" s="89"/>
    </row>
    <row r="36" spans="2:23" x14ac:dyDescent="0.25">
      <c r="B36" s="78" t="s">
        <v>189</v>
      </c>
      <c r="C36" s="89"/>
      <c r="D36" s="89"/>
      <c r="E36" s="89"/>
      <c r="F36" s="89"/>
      <c r="G36" s="89">
        <v>-40</v>
      </c>
      <c r="H36" s="89"/>
      <c r="I36" s="89"/>
      <c r="J36" s="89"/>
      <c r="K36" s="89"/>
      <c r="L36" s="89"/>
    </row>
    <row r="37" spans="2:23" ht="3" customHeight="1" x14ac:dyDescent="0.25">
      <c r="C37" s="89"/>
      <c r="D37" s="89"/>
      <c r="E37" s="89"/>
      <c r="F37" s="89"/>
      <c r="G37" s="89"/>
      <c r="H37" s="89"/>
      <c r="I37" s="89"/>
      <c r="J37" s="89"/>
      <c r="K37" s="89"/>
      <c r="L37" s="89"/>
      <c r="R37" s="501"/>
      <c r="S37" s="430"/>
      <c r="T37" s="430"/>
      <c r="U37" s="430"/>
      <c r="V37" s="430"/>
      <c r="W37" s="101"/>
    </row>
    <row r="38" spans="2:23" x14ac:dyDescent="0.25">
      <c r="B38" s="96" t="s">
        <v>190</v>
      </c>
      <c r="C38" s="97"/>
      <c r="D38" s="97"/>
      <c r="E38" s="97"/>
      <c r="F38" s="97"/>
      <c r="G38" s="97">
        <f>SUM(G33:G36)</f>
        <v>110.94029860441648</v>
      </c>
      <c r="H38" s="89"/>
      <c r="I38" s="89"/>
      <c r="J38" s="89"/>
      <c r="K38" s="89"/>
      <c r="L38" s="89"/>
      <c r="R38" s="101"/>
      <c r="S38" s="101"/>
      <c r="T38" s="101"/>
      <c r="U38" s="101"/>
      <c r="V38" s="101"/>
      <c r="W38" s="101"/>
    </row>
    <row r="39" spans="2:23" ht="3" customHeight="1" x14ac:dyDescent="0.25">
      <c r="C39" s="89"/>
      <c r="D39" s="89"/>
      <c r="E39" s="89"/>
      <c r="F39" s="89"/>
      <c r="G39" s="89"/>
      <c r="H39" s="89"/>
      <c r="I39" s="89"/>
      <c r="J39" s="89"/>
      <c r="K39" s="89"/>
      <c r="L39" s="89"/>
    </row>
    <row r="40" spans="2:23" x14ac:dyDescent="0.25">
      <c r="B40" s="103" t="s">
        <v>200</v>
      </c>
      <c r="C40" s="104"/>
      <c r="D40" s="104"/>
      <c r="E40" s="104"/>
      <c r="F40" s="104"/>
      <c r="G40" s="104">
        <f>+G38*0.15</f>
        <v>16.641044790662473</v>
      </c>
      <c r="H40" s="89"/>
      <c r="I40" s="89"/>
      <c r="J40" s="89"/>
      <c r="K40" s="89"/>
      <c r="L40" s="89"/>
      <c r="O40" s="524"/>
      <c r="P40" s="525" t="s">
        <v>202</v>
      </c>
      <c r="Q40" s="525"/>
      <c r="R40" s="519" t="s">
        <v>144</v>
      </c>
      <c r="S40" s="519"/>
      <c r="T40" s="519"/>
      <c r="U40" s="519"/>
      <c r="V40" s="520"/>
    </row>
    <row r="41" spans="2:23" x14ac:dyDescent="0.25">
      <c r="O41" s="414"/>
      <c r="P41" s="101"/>
      <c r="Q41" s="466">
        <f>+$G$25/(1+$U$15)+$H$25/(1+$U$15)^2+$I$25/(1+$U$15)^3+$J$25/(1+$U$15)^4+$K$25/(1+$U$15)^5+($L$25/($U$15-$N$23))/(1+$U$15)^6</f>
        <v>109.39829860441648</v>
      </c>
      <c r="R41" s="467">
        <f>+S41-0.25%</f>
        <v>4.8359999999999993E-2</v>
      </c>
      <c r="S41" s="467">
        <f>+T41-0.25%</f>
        <v>5.0859999999999995E-2</v>
      </c>
      <c r="T41" s="467">
        <v>5.3359999999999998E-2</v>
      </c>
      <c r="U41" s="467">
        <f>+T41+0.25%</f>
        <v>5.586E-2</v>
      </c>
      <c r="V41" s="521">
        <f>+U41+0.25%</f>
        <v>5.8360000000000002E-2</v>
      </c>
    </row>
    <row r="42" spans="2:23" x14ac:dyDescent="0.25">
      <c r="B42" s="109" t="s">
        <v>208</v>
      </c>
      <c r="C42" s="110">
        <f>+G33/C7</f>
        <v>4.4450976638257904</v>
      </c>
      <c r="O42" s="545" t="s">
        <v>201</v>
      </c>
      <c r="P42" s="469"/>
      <c r="Q42" s="470">
        <v>1.4999999999999999E-2</v>
      </c>
      <c r="R42" s="495">
        <f t="dataTable" ref="R42:V46" dt2D="1" dtr="1" r1="U15" r2="N23"/>
        <v>113.49183484022137</v>
      </c>
      <c r="S42" s="495">
        <v>104.47443059139907</v>
      </c>
      <c r="T42" s="495">
        <v>96.648482184045434</v>
      </c>
      <c r="U42" s="495">
        <v>89.795004629040321</v>
      </c>
      <c r="V42" s="528">
        <v>83.745522764910717</v>
      </c>
    </row>
    <row r="43" spans="2:23" x14ac:dyDescent="0.25">
      <c r="B43" s="111" t="s">
        <v>209</v>
      </c>
      <c r="C43" s="112">
        <f>+G33/C11</f>
        <v>12.242423747137043</v>
      </c>
      <c r="O43" s="545"/>
      <c r="P43" s="469"/>
      <c r="Q43" s="470">
        <v>1.7500000000000002E-2</v>
      </c>
      <c r="R43" s="495">
        <v>121.76972829299216</v>
      </c>
      <c r="S43" s="497">
        <v>111.42830358284945</v>
      </c>
      <c r="T43" s="497">
        <v>102.54654352368443</v>
      </c>
      <c r="U43" s="497">
        <v>94.8387427014721</v>
      </c>
      <c r="V43" s="528">
        <v>88.08912516472499</v>
      </c>
    </row>
    <row r="44" spans="2:23" x14ac:dyDescent="0.25">
      <c r="O44" s="545"/>
      <c r="P44" s="469"/>
      <c r="Q44" s="470">
        <v>0.02</v>
      </c>
      <c r="R44" s="495">
        <v>131.58991663971034</v>
      </c>
      <c r="S44" s="497">
        <v>119.58410658362381</v>
      </c>
      <c r="T44" s="498">
        <v>109.39739489108396</v>
      </c>
      <c r="U44" s="497">
        <v>100.64897325239424</v>
      </c>
      <c r="V44" s="528">
        <v>93.057312669166336</v>
      </c>
    </row>
    <row r="45" spans="2:23" x14ac:dyDescent="0.25">
      <c r="B45" s="533" t="s">
        <v>426</v>
      </c>
      <c r="C45" s="534"/>
      <c r="D45" s="534"/>
      <c r="E45" s="534"/>
      <c r="F45" s="534"/>
      <c r="G45" s="534"/>
      <c r="H45" s="534"/>
      <c r="I45" s="534"/>
      <c r="J45" s="535"/>
      <c r="K45" s="539"/>
      <c r="L45" s="540"/>
      <c r="O45" s="545"/>
      <c r="P45" s="469"/>
      <c r="Q45" s="470">
        <v>2.2499999999999999E-2</v>
      </c>
      <c r="R45" s="495">
        <v>143.40037266650759</v>
      </c>
      <c r="S45" s="497">
        <v>129.2603034175421</v>
      </c>
      <c r="T45" s="497">
        <v>117.43314521444063</v>
      </c>
      <c r="U45" s="497">
        <v>107.39852152498405</v>
      </c>
      <c r="V45" s="528">
        <v>98.781176963523961</v>
      </c>
    </row>
    <row r="46" spans="2:23" x14ac:dyDescent="0.25">
      <c r="B46" s="536" t="s">
        <v>425</v>
      </c>
      <c r="C46" s="537"/>
      <c r="D46" s="537"/>
      <c r="E46" s="537"/>
      <c r="F46" s="537"/>
      <c r="G46" s="537"/>
      <c r="H46" s="537"/>
      <c r="I46" s="537"/>
      <c r="J46" s="538"/>
      <c r="K46" s="541"/>
      <c r="L46" s="542"/>
      <c r="O46" s="546"/>
      <c r="P46" s="522"/>
      <c r="Q46" s="523">
        <v>2.5000000000000001E-2</v>
      </c>
      <c r="R46" s="529">
        <v>157.84084198445217</v>
      </c>
      <c r="S46" s="529">
        <v>140.89851036616702</v>
      </c>
      <c r="T46" s="529">
        <v>126.96775012876118</v>
      </c>
      <c r="U46" s="529">
        <v>115.31621842583951</v>
      </c>
      <c r="V46" s="530">
        <v>105.4311082410714</v>
      </c>
    </row>
    <row r="49" spans="8:21" ht="15" customHeight="1" x14ac:dyDescent="0.25">
      <c r="N49" s="84"/>
    </row>
    <row r="50" spans="8:21" ht="15" customHeight="1" x14ac:dyDescent="0.25">
      <c r="N50" s="86"/>
    </row>
    <row r="51" spans="8:21" x14ac:dyDescent="0.25">
      <c r="N51" s="86"/>
    </row>
    <row r="52" spans="8:21" x14ac:dyDescent="0.25">
      <c r="N52" s="86"/>
    </row>
    <row r="53" spans="8:21" x14ac:dyDescent="0.25">
      <c r="N53" s="86"/>
      <c r="O53" s="87"/>
      <c r="P53" s="87"/>
      <c r="Q53" s="87"/>
      <c r="R53" s="87"/>
      <c r="S53" s="87"/>
      <c r="T53" s="87"/>
      <c r="U53" s="87"/>
    </row>
    <row r="54" spans="8:21" x14ac:dyDescent="0.25">
      <c r="N54" s="86"/>
      <c r="O54" s="87"/>
      <c r="P54" s="87"/>
      <c r="Q54" s="87"/>
      <c r="R54" s="87"/>
      <c r="S54" s="87"/>
      <c r="T54" s="87"/>
      <c r="U54" s="87"/>
    </row>
    <row r="56" spans="8:21" x14ac:dyDescent="0.25">
      <c r="H56" s="89">
        <f t="shared" ref="H56:L60" si="9">+R42*0.15</f>
        <v>17.023775226033205</v>
      </c>
      <c r="I56" s="89">
        <f t="shared" si="9"/>
        <v>15.671164588709861</v>
      </c>
      <c r="J56" s="89">
        <f t="shared" si="9"/>
        <v>14.497272327606815</v>
      </c>
      <c r="K56" s="89">
        <f t="shared" si="9"/>
        <v>13.469250694356047</v>
      </c>
      <c r="L56" s="89">
        <f t="shared" si="9"/>
        <v>12.561828414736608</v>
      </c>
      <c r="O56" s="89"/>
      <c r="P56" s="89"/>
      <c r="Q56" s="89"/>
      <c r="R56" s="89"/>
      <c r="S56" s="89"/>
      <c r="T56" s="89"/>
      <c r="U56" s="89"/>
    </row>
    <row r="57" spans="8:21" x14ac:dyDescent="0.25">
      <c r="H57" s="89">
        <f t="shared" si="9"/>
        <v>18.265459243948822</v>
      </c>
      <c r="I57" s="89">
        <f t="shared" si="9"/>
        <v>16.714245537427416</v>
      </c>
      <c r="J57" s="89">
        <f t="shared" si="9"/>
        <v>15.381981528552664</v>
      </c>
      <c r="K57" s="89">
        <f t="shared" si="9"/>
        <v>14.225811405220815</v>
      </c>
      <c r="L57" s="89">
        <f t="shared" si="9"/>
        <v>13.213368774708748</v>
      </c>
      <c r="O57" s="89"/>
      <c r="P57" s="89"/>
      <c r="Q57" s="89"/>
      <c r="R57" s="89"/>
      <c r="S57" s="89"/>
      <c r="T57" s="89"/>
      <c r="U57" s="89"/>
    </row>
    <row r="58" spans="8:21" x14ac:dyDescent="0.25">
      <c r="H58" s="89">
        <f t="shared" si="9"/>
        <v>19.738487495956551</v>
      </c>
      <c r="I58" s="89">
        <f t="shared" si="9"/>
        <v>17.93761598754357</v>
      </c>
      <c r="J58" s="90">
        <f t="shared" si="9"/>
        <v>16.409609233662593</v>
      </c>
      <c r="K58" s="89">
        <f t="shared" si="9"/>
        <v>15.097345987859136</v>
      </c>
      <c r="L58" s="89">
        <f t="shared" si="9"/>
        <v>13.95859690037495</v>
      </c>
      <c r="O58" s="89"/>
      <c r="P58" s="89"/>
      <c r="Q58" s="90"/>
      <c r="R58" s="89"/>
      <c r="S58" s="89"/>
      <c r="T58" s="89"/>
      <c r="U58" s="89"/>
    </row>
    <row r="59" spans="8:21" x14ac:dyDescent="0.25">
      <c r="H59" s="89">
        <f t="shared" si="9"/>
        <v>21.510055899976138</v>
      </c>
      <c r="I59" s="89">
        <f t="shared" si="9"/>
        <v>19.389045512631316</v>
      </c>
      <c r="J59" s="89">
        <f t="shared" si="9"/>
        <v>17.614971782166094</v>
      </c>
      <c r="K59" s="89">
        <f t="shared" si="9"/>
        <v>16.109778228747608</v>
      </c>
      <c r="L59" s="89">
        <f t="shared" si="9"/>
        <v>14.817176544528593</v>
      </c>
      <c r="O59" s="89"/>
      <c r="P59" s="89"/>
      <c r="Q59" s="89"/>
      <c r="R59" s="89"/>
      <c r="S59" s="89"/>
      <c r="T59" s="89"/>
      <c r="U59" s="89"/>
    </row>
    <row r="60" spans="8:21" x14ac:dyDescent="0.25">
      <c r="H60" s="89">
        <f t="shared" si="9"/>
        <v>23.676126297667825</v>
      </c>
      <c r="I60" s="89">
        <f t="shared" si="9"/>
        <v>21.13477655492505</v>
      </c>
      <c r="J60" s="89">
        <f t="shared" si="9"/>
        <v>19.045162519314175</v>
      </c>
      <c r="K60" s="89">
        <f t="shared" si="9"/>
        <v>17.297432763875925</v>
      </c>
      <c r="L60" s="89">
        <f t="shared" si="9"/>
        <v>15.81466623616071</v>
      </c>
      <c r="O60" s="89"/>
      <c r="P60" s="89"/>
      <c r="Q60" s="89"/>
      <c r="R60" s="89"/>
      <c r="S60" s="89"/>
      <c r="T60" s="89"/>
      <c r="U60" s="89"/>
    </row>
  </sheetData>
  <mergeCells count="1">
    <mergeCell ref="O42:O46"/>
  </mergeCells>
  <pageMargins left="0.7" right="0.7" top="0.75" bottom="0.75" header="0.3" footer="0.3"/>
  <pageSetup paperSize="9" scale="40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2:K199"/>
  <sheetViews>
    <sheetView zoomScale="80" zoomScaleNormal="80" workbookViewId="0">
      <selection activeCell="E184" sqref="E184"/>
    </sheetView>
  </sheetViews>
  <sheetFormatPr baseColWidth="10" defaultRowHeight="15" x14ac:dyDescent="0.25"/>
  <cols>
    <col min="1" max="1" width="2.85546875" customWidth="1"/>
    <col min="2" max="2" width="49.28515625" customWidth="1"/>
    <col min="3" max="3" width="11.42578125" style="14"/>
    <col min="4" max="4" width="1" style="1" customWidth="1"/>
    <col min="5" max="5" width="11.5703125" style="1" customWidth="1"/>
    <col min="7" max="7" width="11.7109375" bestFit="1" customWidth="1"/>
  </cols>
  <sheetData>
    <row r="2" spans="2:8" x14ac:dyDescent="0.25">
      <c r="H2" s="45"/>
    </row>
    <row r="3" spans="2:8" x14ac:dyDescent="0.25">
      <c r="H3" s="45"/>
    </row>
    <row r="4" spans="2:8" x14ac:dyDescent="0.25">
      <c r="C4" s="37"/>
      <c r="H4" s="45"/>
    </row>
    <row r="5" spans="2:8" s="11" customFormat="1" x14ac:dyDescent="0.25">
      <c r="B5" s="9" t="s">
        <v>114</v>
      </c>
      <c r="C5" s="15">
        <v>39813</v>
      </c>
      <c r="D5" s="10"/>
      <c r="E5" s="10">
        <v>40178</v>
      </c>
      <c r="H5" s="113"/>
    </row>
    <row r="6" spans="2:8" ht="5.25" customHeight="1" x14ac:dyDescent="0.25">
      <c r="B6" s="2"/>
      <c r="C6" s="16"/>
      <c r="D6" s="3"/>
      <c r="E6" s="3"/>
    </row>
    <row r="7" spans="2:8" x14ac:dyDescent="0.25">
      <c r="B7" t="s">
        <v>134</v>
      </c>
      <c r="C7" s="14">
        <v>102.83199999999999</v>
      </c>
      <c r="E7" s="1">
        <v>113.02</v>
      </c>
    </row>
    <row r="8" spans="2:8" x14ac:dyDescent="0.25">
      <c r="B8" t="s">
        <v>135</v>
      </c>
      <c r="C8" s="14">
        <v>54.298000000000002</v>
      </c>
      <c r="E8" s="1">
        <v>45.606999999999999</v>
      </c>
    </row>
    <row r="9" spans="2:8" x14ac:dyDescent="0.25">
      <c r="B9" t="s">
        <v>136</v>
      </c>
      <c r="C9" s="14">
        <v>22.56</v>
      </c>
      <c r="E9" s="1">
        <v>24.594000000000001</v>
      </c>
    </row>
    <row r="10" spans="2:8" x14ac:dyDescent="0.25">
      <c r="B10" s="2" t="s">
        <v>3</v>
      </c>
      <c r="C10" s="16">
        <f t="shared" ref="C10" si="0">SUM(C7:C9)</f>
        <v>179.69</v>
      </c>
      <c r="D10" s="3"/>
      <c r="E10" s="3">
        <f>SUM(E7:E9)</f>
        <v>183.221</v>
      </c>
      <c r="G10" s="33"/>
    </row>
    <row r="11" spans="2:8" x14ac:dyDescent="0.25">
      <c r="C11" s="28"/>
      <c r="D11" s="4"/>
    </row>
    <row r="12" spans="2:8" x14ac:dyDescent="0.25">
      <c r="B12" t="s">
        <v>6</v>
      </c>
      <c r="C12" s="14">
        <v>4.5199999999999996</v>
      </c>
      <c r="E12" s="1">
        <v>0.68799999999999994</v>
      </c>
    </row>
    <row r="13" spans="2:8" x14ac:dyDescent="0.25">
      <c r="B13" t="s">
        <v>7</v>
      </c>
      <c r="C13" s="14">
        <v>2.2709999999999999</v>
      </c>
      <c r="E13" s="1">
        <v>3.0569999999999999</v>
      </c>
    </row>
    <row r="14" spans="2:8" x14ac:dyDescent="0.25">
      <c r="B14" t="s">
        <v>8</v>
      </c>
      <c r="C14" s="14">
        <v>0</v>
      </c>
      <c r="E14" s="1">
        <v>0</v>
      </c>
    </row>
    <row r="15" spans="2:8" x14ac:dyDescent="0.25">
      <c r="B15" t="s">
        <v>9</v>
      </c>
      <c r="C15" s="14">
        <v>0</v>
      </c>
      <c r="E15" s="1">
        <v>0</v>
      </c>
    </row>
    <row r="16" spans="2:8" x14ac:dyDescent="0.25">
      <c r="B16" t="s">
        <v>10</v>
      </c>
      <c r="C16" s="14">
        <v>7.0149999999999997</v>
      </c>
      <c r="E16" s="1">
        <v>6.298</v>
      </c>
    </row>
    <row r="18" spans="2:6" x14ac:dyDescent="0.25">
      <c r="B18" s="5" t="s">
        <v>11</v>
      </c>
      <c r="C18" s="17">
        <f t="shared" ref="C18:E18" si="1">SUM(C12:C16)+C10</f>
        <v>193.49600000000001</v>
      </c>
      <c r="D18" s="6"/>
      <c r="E18" s="17">
        <f t="shared" si="1"/>
        <v>193.26400000000001</v>
      </c>
    </row>
    <row r="19" spans="2:6" x14ac:dyDescent="0.25">
      <c r="E19" s="14"/>
    </row>
    <row r="20" spans="2:6" x14ac:dyDescent="0.25">
      <c r="B20" t="s">
        <v>12</v>
      </c>
      <c r="C20" s="14">
        <v>116.041</v>
      </c>
      <c r="E20" s="14">
        <v>116.057</v>
      </c>
    </row>
    <row r="21" spans="2:6" x14ac:dyDescent="0.25">
      <c r="B21" t="s">
        <v>13</v>
      </c>
      <c r="C21" s="14">
        <v>0</v>
      </c>
      <c r="E21" s="14">
        <v>0</v>
      </c>
    </row>
    <row r="22" spans="2:6" x14ac:dyDescent="0.25">
      <c r="B22" t="s">
        <v>14</v>
      </c>
      <c r="C22" s="14">
        <v>0</v>
      </c>
      <c r="E22" s="14">
        <v>0</v>
      </c>
    </row>
    <row r="23" spans="2:6" x14ac:dyDescent="0.25">
      <c r="B23" t="s">
        <v>15</v>
      </c>
      <c r="C23" s="14">
        <v>0</v>
      </c>
      <c r="E23" s="14">
        <v>0</v>
      </c>
    </row>
    <row r="24" spans="2:6" x14ac:dyDescent="0.25">
      <c r="B24" t="s">
        <v>16</v>
      </c>
      <c r="C24" s="14">
        <f>6.645+10.811+8.032</f>
        <v>25.488</v>
      </c>
      <c r="E24" s="14">
        <f>5.573+9.116+9.882</f>
        <v>24.570999999999998</v>
      </c>
    </row>
    <row r="25" spans="2:6" x14ac:dyDescent="0.25">
      <c r="B25" t="s">
        <v>45</v>
      </c>
      <c r="C25" s="14">
        <v>0</v>
      </c>
      <c r="E25" s="14">
        <v>0</v>
      </c>
    </row>
    <row r="26" spans="2:6" x14ac:dyDescent="0.25">
      <c r="B26" t="s">
        <v>17</v>
      </c>
      <c r="C26" s="14">
        <v>3.4980000000000002</v>
      </c>
      <c r="E26" s="14">
        <v>3.637</v>
      </c>
    </row>
    <row r="27" spans="2:6" x14ac:dyDescent="0.25">
      <c r="B27" t="s">
        <v>18</v>
      </c>
      <c r="C27" s="14">
        <v>25.065999999999999</v>
      </c>
      <c r="E27" s="14">
        <v>26.988</v>
      </c>
    </row>
    <row r="28" spans="2:6" x14ac:dyDescent="0.25">
      <c r="B28" t="s">
        <v>19</v>
      </c>
      <c r="C28" s="14">
        <v>0</v>
      </c>
      <c r="E28" s="14">
        <v>0</v>
      </c>
    </row>
    <row r="29" spans="2:6" x14ac:dyDescent="0.25">
      <c r="B29" t="s">
        <v>24</v>
      </c>
      <c r="C29" s="14">
        <v>2.1709999999999998</v>
      </c>
      <c r="E29" s="14">
        <v>3.4209999999999998</v>
      </c>
    </row>
    <row r="30" spans="2:6" x14ac:dyDescent="0.25">
      <c r="E30" s="14"/>
    </row>
    <row r="31" spans="2:6" x14ac:dyDescent="0.25">
      <c r="B31" s="5" t="s">
        <v>25</v>
      </c>
      <c r="C31" s="17">
        <f>+C18-SUM(C20:C29)</f>
        <v>21.232000000000028</v>
      </c>
      <c r="D31" s="6"/>
      <c r="E31" s="17">
        <f>+E18-SUM(E20:E29)</f>
        <v>18.590000000000032</v>
      </c>
      <c r="F31" s="1"/>
    </row>
    <row r="32" spans="2:6" x14ac:dyDescent="0.25">
      <c r="E32" s="36"/>
    </row>
    <row r="33" spans="2:5" x14ac:dyDescent="0.25">
      <c r="B33" t="s">
        <v>20</v>
      </c>
      <c r="C33" s="14">
        <v>14.746</v>
      </c>
      <c r="E33" s="14">
        <v>14.504</v>
      </c>
    </row>
    <row r="34" spans="2:5" x14ac:dyDescent="0.25">
      <c r="B34" t="s">
        <v>21</v>
      </c>
      <c r="C34" s="14">
        <v>0</v>
      </c>
      <c r="E34" s="14">
        <v>0</v>
      </c>
    </row>
    <row r="35" spans="2:5" x14ac:dyDescent="0.25">
      <c r="B35" t="s">
        <v>22</v>
      </c>
      <c r="C35" s="14">
        <v>0</v>
      </c>
      <c r="E35" s="14">
        <v>0</v>
      </c>
    </row>
    <row r="36" spans="2:5" x14ac:dyDescent="0.25">
      <c r="B36" t="s">
        <v>23</v>
      </c>
      <c r="C36" s="14">
        <v>0</v>
      </c>
      <c r="E36" s="14">
        <v>0</v>
      </c>
    </row>
    <row r="37" spans="2:5" x14ac:dyDescent="0.25">
      <c r="E37" s="14"/>
    </row>
    <row r="38" spans="2:5" x14ac:dyDescent="0.25">
      <c r="B38" s="5" t="s">
        <v>26</v>
      </c>
      <c r="C38" s="17">
        <f t="shared" ref="C38:E38" si="2">+C31-SUM(C33:C36)</f>
        <v>6.4860000000000273</v>
      </c>
      <c r="D38" s="6"/>
      <c r="E38" s="17">
        <f t="shared" si="2"/>
        <v>4.0860000000000323</v>
      </c>
    </row>
    <row r="39" spans="2:5" x14ac:dyDescent="0.25">
      <c r="E39" s="14"/>
    </row>
    <row r="40" spans="2:5" x14ac:dyDescent="0.25">
      <c r="B40" t="s">
        <v>27</v>
      </c>
      <c r="C40" s="14">
        <v>0</v>
      </c>
      <c r="E40" s="14">
        <v>0.73099999999999998</v>
      </c>
    </row>
    <row r="41" spans="2:5" ht="3.75" customHeight="1" x14ac:dyDescent="0.25">
      <c r="E41" s="14"/>
    </row>
    <row r="42" spans="2:5" x14ac:dyDescent="0.25">
      <c r="B42" t="s">
        <v>28</v>
      </c>
      <c r="C42" s="14">
        <v>0</v>
      </c>
      <c r="E42" s="14">
        <v>0</v>
      </c>
    </row>
    <row r="43" spans="2:5" x14ac:dyDescent="0.25">
      <c r="B43" t="s">
        <v>29</v>
      </c>
      <c r="C43" s="14">
        <v>0</v>
      </c>
      <c r="E43" s="14">
        <v>0</v>
      </c>
    </row>
    <row r="44" spans="2:5" x14ac:dyDescent="0.25">
      <c r="B44" t="s">
        <v>30</v>
      </c>
      <c r="C44" s="14">
        <v>1.9259999999999999</v>
      </c>
      <c r="E44" s="14">
        <v>0</v>
      </c>
    </row>
    <row r="45" spans="2:5" x14ac:dyDescent="0.25">
      <c r="B45" t="s">
        <v>31</v>
      </c>
      <c r="C45" s="14">
        <f>SUM(C42:C44)</f>
        <v>1.9259999999999999</v>
      </c>
      <c r="E45" s="14">
        <f>+E44+E43+E42</f>
        <v>0</v>
      </c>
    </row>
    <row r="46" spans="2:5" ht="3.75" customHeight="1" x14ac:dyDescent="0.25">
      <c r="E46" s="14"/>
    </row>
    <row r="47" spans="2:5" x14ac:dyDescent="0.25">
      <c r="B47" s="5" t="s">
        <v>32</v>
      </c>
      <c r="C47" s="17">
        <f t="shared" ref="C47:E47" si="3">+C40-C45</f>
        <v>-1.9259999999999999</v>
      </c>
      <c r="D47" s="6"/>
      <c r="E47" s="17">
        <f t="shared" si="3"/>
        <v>0.73099999999999998</v>
      </c>
    </row>
    <row r="48" spans="2:5" x14ac:dyDescent="0.25">
      <c r="D48" s="14"/>
      <c r="E48" s="14"/>
    </row>
    <row r="49" spans="2:5" x14ac:dyDescent="0.25">
      <c r="B49" t="s">
        <v>38</v>
      </c>
      <c r="C49" s="14">
        <v>0.56000000000000005</v>
      </c>
      <c r="D49" s="14"/>
      <c r="E49" s="14">
        <v>0.78</v>
      </c>
    </row>
    <row r="50" spans="2:5" x14ac:dyDescent="0.25">
      <c r="B50" t="s">
        <v>39</v>
      </c>
      <c r="C50" s="14">
        <v>0</v>
      </c>
      <c r="D50" s="14"/>
      <c r="E50" s="14">
        <v>0</v>
      </c>
    </row>
    <row r="51" spans="2:5" x14ac:dyDescent="0.25">
      <c r="B51" t="s">
        <v>35</v>
      </c>
      <c r="C51" s="14">
        <v>0</v>
      </c>
      <c r="D51" s="14"/>
      <c r="E51" s="14">
        <v>0</v>
      </c>
    </row>
    <row r="52" spans="2:5" x14ac:dyDescent="0.25">
      <c r="B52" t="s">
        <v>33</v>
      </c>
      <c r="C52" s="14">
        <f t="shared" ref="C52:E52" si="4">SUM(C49:C51)</f>
        <v>0.56000000000000005</v>
      </c>
      <c r="D52" s="14"/>
      <c r="E52" s="14">
        <f t="shared" si="4"/>
        <v>0.78</v>
      </c>
    </row>
    <row r="53" spans="2:5" ht="3.75" customHeight="1" x14ac:dyDescent="0.25">
      <c r="D53" s="14"/>
      <c r="E53" s="14"/>
    </row>
    <row r="54" spans="2:5" x14ac:dyDescent="0.25">
      <c r="B54" t="s">
        <v>36</v>
      </c>
      <c r="C54" s="14">
        <v>0</v>
      </c>
      <c r="D54" s="14"/>
      <c r="E54" s="14">
        <v>0</v>
      </c>
    </row>
    <row r="55" spans="2:5" x14ac:dyDescent="0.25">
      <c r="B55" t="s">
        <v>37</v>
      </c>
      <c r="C55" s="14">
        <v>0</v>
      </c>
      <c r="D55" s="14"/>
      <c r="E55" s="14">
        <v>0</v>
      </c>
    </row>
    <row r="56" spans="2:5" x14ac:dyDescent="0.25">
      <c r="B56" t="s">
        <v>34</v>
      </c>
      <c r="C56" s="14">
        <v>0</v>
      </c>
      <c r="D56" s="14"/>
      <c r="E56" s="14">
        <v>0</v>
      </c>
    </row>
    <row r="57" spans="2:5" x14ac:dyDescent="0.25">
      <c r="B57" t="s">
        <v>40</v>
      </c>
      <c r="C57" s="14">
        <f t="shared" ref="C57:E57" si="5">SUM(C54:C56)</f>
        <v>0</v>
      </c>
      <c r="D57" s="14"/>
      <c r="E57" s="14">
        <f t="shared" si="5"/>
        <v>0</v>
      </c>
    </row>
    <row r="58" spans="2:5" ht="3.75" customHeight="1" x14ac:dyDescent="0.25">
      <c r="D58" s="14"/>
      <c r="E58" s="14"/>
    </row>
    <row r="59" spans="2:5" x14ac:dyDescent="0.25">
      <c r="B59" s="5" t="s">
        <v>41</v>
      </c>
      <c r="C59" s="17">
        <f t="shared" ref="C59:E59" si="6">+C52-C57</f>
        <v>0.56000000000000005</v>
      </c>
      <c r="D59" s="17"/>
      <c r="E59" s="17">
        <f t="shared" si="6"/>
        <v>0.78</v>
      </c>
    </row>
    <row r="60" spans="2:5" x14ac:dyDescent="0.25">
      <c r="D60" s="14"/>
      <c r="E60" s="14"/>
    </row>
    <row r="61" spans="2:5" x14ac:dyDescent="0.25">
      <c r="B61" s="5" t="s">
        <v>42</v>
      </c>
      <c r="C61" s="17">
        <f>+C38+C47+C59</f>
        <v>5.1200000000000276</v>
      </c>
      <c r="D61" s="17"/>
      <c r="E61" s="17">
        <f t="shared" ref="E61" si="7">+E38+E47+E59</f>
        <v>5.5970000000000324</v>
      </c>
    </row>
    <row r="62" spans="2:5" x14ac:dyDescent="0.25">
      <c r="D62" s="14"/>
      <c r="E62" s="14"/>
    </row>
    <row r="63" spans="2:5" x14ac:dyDescent="0.25">
      <c r="B63" t="s">
        <v>131</v>
      </c>
      <c r="C63" s="14">
        <v>1.411</v>
      </c>
      <c r="D63" s="14"/>
      <c r="E63" s="14">
        <v>1.2430000000000001</v>
      </c>
    </row>
    <row r="64" spans="2:5" x14ac:dyDescent="0.25">
      <c r="B64" t="s">
        <v>132</v>
      </c>
      <c r="C64" s="14">
        <v>6.6000000000000003E-2</v>
      </c>
      <c r="D64" s="14"/>
      <c r="E64" s="14">
        <v>0.123</v>
      </c>
    </row>
    <row r="65" spans="2:9" x14ac:dyDescent="0.25">
      <c r="B65" t="s">
        <v>46</v>
      </c>
      <c r="C65" s="14">
        <v>0.214</v>
      </c>
      <c r="D65" s="14"/>
      <c r="E65" s="14">
        <v>0.36799999999999999</v>
      </c>
    </row>
    <row r="66" spans="2:9" x14ac:dyDescent="0.25">
      <c r="B66" t="s">
        <v>43</v>
      </c>
      <c r="C66" s="14">
        <v>1.5529999999999999</v>
      </c>
      <c r="D66" s="14"/>
      <c r="E66" s="14">
        <v>1.738</v>
      </c>
    </row>
    <row r="67" spans="2:9" x14ac:dyDescent="0.25">
      <c r="B67" t="s">
        <v>133</v>
      </c>
      <c r="C67" s="14">
        <v>0</v>
      </c>
      <c r="D67" s="14"/>
      <c r="E67" s="14">
        <v>3.9E-2</v>
      </c>
    </row>
    <row r="68" spans="2:9" x14ac:dyDescent="0.25">
      <c r="D68" s="14"/>
      <c r="E68" s="14"/>
      <c r="I68" s="1"/>
    </row>
    <row r="69" spans="2:9" x14ac:dyDescent="0.25">
      <c r="B69" s="5" t="s">
        <v>44</v>
      </c>
      <c r="C69" s="17">
        <f>+C61-C65-C66+C63-C64+C67</f>
        <v>4.6980000000000279</v>
      </c>
      <c r="D69" s="17"/>
      <c r="E69" s="17">
        <f>+E61-E65-E66+E63-E64+E67</f>
        <v>4.6500000000000314</v>
      </c>
    </row>
    <row r="70" spans="2:9" x14ac:dyDescent="0.25">
      <c r="D70" s="14"/>
      <c r="E70" s="14"/>
    </row>
    <row r="71" spans="2:9" x14ac:dyDescent="0.25">
      <c r="B71" t="s">
        <v>94</v>
      </c>
      <c r="D71" s="14"/>
      <c r="E71" s="14"/>
    </row>
    <row r="72" spans="2:9" x14ac:dyDescent="0.25">
      <c r="B72" t="s">
        <v>95</v>
      </c>
      <c r="C72" s="18"/>
      <c r="D72" s="18"/>
      <c r="E72" s="18">
        <f>+(E10/C10)-1</f>
        <v>1.9650509210306755E-2</v>
      </c>
    </row>
    <row r="73" spans="2:9" x14ac:dyDescent="0.25">
      <c r="B73" t="s">
        <v>96</v>
      </c>
      <c r="C73" s="18">
        <f>+(C10-C20-C21-C22-C23)/C10</f>
        <v>0.35421559352217707</v>
      </c>
      <c r="D73" s="18"/>
      <c r="E73" s="18">
        <f>+(E10-E20-E21-E22-E23)/E10</f>
        <v>0.36657370061292099</v>
      </c>
    </row>
    <row r="74" spans="2:9" x14ac:dyDescent="0.25">
      <c r="B74" t="s">
        <v>97</v>
      </c>
      <c r="C74" s="18">
        <f>+C24/C10</f>
        <v>0.14184428738382771</v>
      </c>
      <c r="D74" s="18"/>
      <c r="E74" s="18">
        <f>+E24/E10</f>
        <v>0.13410580664880117</v>
      </c>
    </row>
    <row r="75" spans="2:9" x14ac:dyDescent="0.25">
      <c r="B75" t="s">
        <v>98</v>
      </c>
      <c r="C75" s="18">
        <f>+(C27+C28)/C10</f>
        <v>0.13949579831932774</v>
      </c>
      <c r="D75" s="18"/>
      <c r="E75" s="18">
        <f>+(E27+E28)/E10</f>
        <v>0.14729752593862055</v>
      </c>
    </row>
    <row r="76" spans="2:9" x14ac:dyDescent="0.25">
      <c r="B76" t="s">
        <v>99</v>
      </c>
      <c r="C76" s="18">
        <f>+C31/C10</f>
        <v>0.11815905170015041</v>
      </c>
      <c r="D76" s="18"/>
      <c r="E76" s="18">
        <f>+E31/E10</f>
        <v>0.10146216863787465</v>
      </c>
    </row>
    <row r="77" spans="2:9" x14ac:dyDescent="0.25">
      <c r="B77" t="s">
        <v>100</v>
      </c>
      <c r="C77" s="18">
        <f>+C38/C18</f>
        <v>3.3520072766362236E-2</v>
      </c>
      <c r="D77" s="18"/>
      <c r="E77" s="18">
        <f>+E38/E18</f>
        <v>2.1142064740458814E-2</v>
      </c>
    </row>
    <row r="78" spans="2:9" x14ac:dyDescent="0.25">
      <c r="D78" s="14"/>
      <c r="E78" s="14"/>
    </row>
    <row r="79" spans="2:9" x14ac:dyDescent="0.25">
      <c r="D79" s="14"/>
      <c r="E79" s="14"/>
    </row>
    <row r="80" spans="2:9" s="20" customFormat="1" x14ac:dyDescent="0.25">
      <c r="C80" s="14"/>
      <c r="D80" s="14"/>
      <c r="E80" s="14"/>
    </row>
    <row r="81" spans="2:5" s="20" customFormat="1" x14ac:dyDescent="0.25">
      <c r="C81" s="14"/>
      <c r="D81" s="14"/>
      <c r="E81" s="14"/>
    </row>
    <row r="82" spans="2:5" s="26" customFormat="1" x14ac:dyDescent="0.25">
      <c r="B82" s="25" t="s">
        <v>124</v>
      </c>
      <c r="C82" s="34">
        <f>+C5</f>
        <v>39813</v>
      </c>
      <c r="D82" s="34"/>
      <c r="E82" s="34">
        <f>+E5</f>
        <v>40178</v>
      </c>
    </row>
    <row r="83" spans="2:5" s="20" customFormat="1" x14ac:dyDescent="0.25">
      <c r="C83" s="22"/>
      <c r="D83" s="22"/>
      <c r="E83" s="22"/>
    </row>
    <row r="84" spans="2:5" s="20" customFormat="1" x14ac:dyDescent="0.25">
      <c r="B84" s="20" t="s">
        <v>47</v>
      </c>
      <c r="C84" s="22">
        <v>0</v>
      </c>
      <c r="D84" s="22"/>
      <c r="E84" s="22">
        <v>0</v>
      </c>
    </row>
    <row r="85" spans="2:5" s="20" customFormat="1" x14ac:dyDescent="0.25">
      <c r="B85" s="20" t="s">
        <v>48</v>
      </c>
      <c r="C85" s="22">
        <v>0</v>
      </c>
      <c r="D85" s="22"/>
      <c r="E85" s="22">
        <v>0</v>
      </c>
    </row>
    <row r="86" spans="2:5" s="20" customFormat="1" x14ac:dyDescent="0.25">
      <c r="B86" s="20" t="s">
        <v>49</v>
      </c>
      <c r="C86" s="14">
        <v>30.765999999999998</v>
      </c>
      <c r="D86" s="14"/>
      <c r="E86" s="14">
        <v>32.548999999999999</v>
      </c>
    </row>
    <row r="87" spans="2:5" s="20" customFormat="1" x14ac:dyDescent="0.25">
      <c r="B87" s="27" t="s">
        <v>50</v>
      </c>
      <c r="C87" s="16">
        <f t="shared" ref="C87:E87" si="8">SUM(C84:C86)</f>
        <v>30.765999999999998</v>
      </c>
      <c r="D87" s="16"/>
      <c r="E87" s="16">
        <f t="shared" si="8"/>
        <v>32.548999999999999</v>
      </c>
    </row>
    <row r="88" spans="2:5" s="20" customFormat="1" x14ac:dyDescent="0.25">
      <c r="C88" s="14"/>
      <c r="D88" s="14"/>
      <c r="E88" s="14"/>
    </row>
    <row r="89" spans="2:5" s="20" customFormat="1" x14ac:dyDescent="0.25">
      <c r="B89" s="20" t="s">
        <v>51</v>
      </c>
      <c r="C89" s="14">
        <v>0</v>
      </c>
      <c r="D89" s="14"/>
      <c r="E89" s="14">
        <v>0</v>
      </c>
    </row>
    <row r="90" spans="2:5" s="20" customFormat="1" x14ac:dyDescent="0.25">
      <c r="B90" s="20" t="s">
        <v>52</v>
      </c>
      <c r="C90" s="14">
        <v>0</v>
      </c>
      <c r="D90" s="14"/>
      <c r="E90" s="14">
        <v>0</v>
      </c>
    </row>
    <row r="91" spans="2:5" s="20" customFormat="1" x14ac:dyDescent="0.25">
      <c r="B91" s="20" t="s">
        <v>53</v>
      </c>
      <c r="C91" s="14">
        <v>15.394</v>
      </c>
      <c r="D91" s="14"/>
      <c r="E91" s="14">
        <v>14.426</v>
      </c>
    </row>
    <row r="92" spans="2:5" s="20" customFormat="1" x14ac:dyDescent="0.25">
      <c r="B92" s="20" t="s">
        <v>54</v>
      </c>
      <c r="C92" s="14">
        <v>0</v>
      </c>
      <c r="D92" s="14"/>
      <c r="E92" s="14">
        <v>0</v>
      </c>
    </row>
    <row r="93" spans="2:5" s="20" customFormat="1" x14ac:dyDescent="0.25">
      <c r="B93" s="20" t="s">
        <v>101</v>
      </c>
      <c r="C93" s="14">
        <v>9.0760000000000005</v>
      </c>
      <c r="D93" s="14"/>
      <c r="E93" s="14">
        <v>11.147</v>
      </c>
    </row>
    <row r="94" spans="2:5" s="20" customFormat="1" x14ac:dyDescent="0.25">
      <c r="B94" s="20" t="s">
        <v>115</v>
      </c>
      <c r="C94" s="14">
        <v>209.06700000000001</v>
      </c>
      <c r="D94" s="14"/>
      <c r="E94" s="14">
        <v>201.30799999999999</v>
      </c>
    </row>
    <row r="95" spans="2:5" s="20" customFormat="1" x14ac:dyDescent="0.25">
      <c r="B95" s="20" t="s">
        <v>116</v>
      </c>
      <c r="C95" s="14">
        <v>43.674999999999997</v>
      </c>
      <c r="D95" s="14"/>
      <c r="E95" s="14">
        <v>56.747</v>
      </c>
    </row>
    <row r="96" spans="2:5" s="20" customFormat="1" x14ac:dyDescent="0.25">
      <c r="B96" s="20" t="s">
        <v>117</v>
      </c>
      <c r="C96" s="14">
        <v>41.158000000000001</v>
      </c>
      <c r="D96" s="14"/>
      <c r="E96" s="14">
        <v>50.445999999999998</v>
      </c>
    </row>
    <row r="97" spans="2:7" s="20" customFormat="1" x14ac:dyDescent="0.25">
      <c r="B97" s="27" t="s">
        <v>55</v>
      </c>
      <c r="C97" s="16">
        <f>SUM(C89:C96)</f>
        <v>318.37</v>
      </c>
      <c r="D97" s="16"/>
      <c r="E97" s="16">
        <f>SUM(E89:E96)</f>
        <v>334.07399999999996</v>
      </c>
    </row>
    <row r="98" spans="2:7" s="20" customFormat="1" x14ac:dyDescent="0.25">
      <c r="C98" s="28"/>
      <c r="D98" s="14"/>
      <c r="E98" s="14"/>
    </row>
    <row r="99" spans="2:7" s="20" customFormat="1" x14ac:dyDescent="0.25">
      <c r="B99" s="20" t="s">
        <v>118</v>
      </c>
      <c r="C99" s="14">
        <v>17.617000000000001</v>
      </c>
      <c r="D99" s="14"/>
      <c r="E99" s="14">
        <v>18.396999999999998</v>
      </c>
    </row>
    <row r="100" spans="2:7" s="20" customFormat="1" x14ac:dyDescent="0.25">
      <c r="B100" s="20" t="s">
        <v>119</v>
      </c>
      <c r="C100" s="14">
        <v>0</v>
      </c>
      <c r="D100" s="14"/>
      <c r="E100" s="14">
        <v>0</v>
      </c>
    </row>
    <row r="101" spans="2:7" s="20" customFormat="1" x14ac:dyDescent="0.25">
      <c r="B101" s="20" t="s">
        <v>56</v>
      </c>
      <c r="C101" s="14">
        <v>0</v>
      </c>
      <c r="D101" s="14"/>
      <c r="E101" s="14">
        <v>0</v>
      </c>
    </row>
    <row r="102" spans="2:7" s="20" customFormat="1" x14ac:dyDescent="0.25">
      <c r="B102" s="27" t="s">
        <v>57</v>
      </c>
      <c r="C102" s="16">
        <f>SUM(C99:C101)</f>
        <v>17.617000000000001</v>
      </c>
      <c r="D102" s="16"/>
      <c r="E102" s="16">
        <f t="shared" ref="E102" si="9">SUM(E99:E101)</f>
        <v>18.396999999999998</v>
      </c>
    </row>
    <row r="103" spans="2:7" s="20" customFormat="1" ht="3.75" customHeight="1" x14ac:dyDescent="0.25">
      <c r="C103" s="14"/>
      <c r="D103" s="14"/>
      <c r="E103" s="14"/>
    </row>
    <row r="104" spans="2:7" s="20" customFormat="1" x14ac:dyDescent="0.25">
      <c r="B104" s="19" t="s">
        <v>58</v>
      </c>
      <c r="C104" s="17">
        <f>+C87+C97+C102</f>
        <v>366.75300000000004</v>
      </c>
      <c r="D104" s="17"/>
      <c r="E104" s="17">
        <f>+E87+E97+E102</f>
        <v>385.01999999999992</v>
      </c>
    </row>
    <row r="105" spans="2:7" s="20" customFormat="1" x14ac:dyDescent="0.25">
      <c r="C105" s="14"/>
      <c r="D105" s="14"/>
      <c r="E105" s="14"/>
    </row>
    <row r="106" spans="2:7" s="20" customFormat="1" x14ac:dyDescent="0.25">
      <c r="B106" s="21" t="s">
        <v>102</v>
      </c>
      <c r="C106" s="14">
        <v>0</v>
      </c>
      <c r="D106" s="14"/>
      <c r="E106" s="14">
        <v>0</v>
      </c>
    </row>
    <row r="107" spans="2:7" s="20" customFormat="1" x14ac:dyDescent="0.25">
      <c r="B107" s="8" t="s">
        <v>59</v>
      </c>
      <c r="C107" s="14">
        <v>4.5759999999999996</v>
      </c>
      <c r="D107" s="14"/>
      <c r="E107" s="14">
        <v>5.2649999999999997</v>
      </c>
    </row>
    <row r="108" spans="2:7" s="20" customFormat="1" x14ac:dyDescent="0.25">
      <c r="B108" s="8" t="s">
        <v>60</v>
      </c>
      <c r="C108" s="14">
        <v>4.1820000000000004</v>
      </c>
      <c r="D108" s="14"/>
      <c r="E108" s="14">
        <v>4.2679999999999998</v>
      </c>
    </row>
    <row r="109" spans="2:7" s="20" customFormat="1" x14ac:dyDescent="0.25">
      <c r="B109" s="7" t="s">
        <v>61</v>
      </c>
      <c r="C109" s="16">
        <f>SUM(C106:C108)</f>
        <v>8.7579999999999991</v>
      </c>
      <c r="D109" s="16"/>
      <c r="E109" s="16">
        <f t="shared" ref="E109" si="10">SUM(E106:E108)</f>
        <v>9.5329999999999995</v>
      </c>
    </row>
    <row r="110" spans="2:7" s="20" customFormat="1" x14ac:dyDescent="0.25">
      <c r="C110" s="14"/>
      <c r="D110" s="14"/>
      <c r="E110" s="14"/>
    </row>
    <row r="111" spans="2:7" s="20" customFormat="1" x14ac:dyDescent="0.25">
      <c r="B111" s="27" t="s">
        <v>62</v>
      </c>
      <c r="C111" s="16">
        <f>0.014+55.517</f>
        <v>55.531000000000006</v>
      </c>
      <c r="D111" s="16"/>
      <c r="E111" s="16">
        <f>0.025+49.987</f>
        <v>50.012</v>
      </c>
      <c r="G111" s="14"/>
    </row>
    <row r="112" spans="2:7" s="20" customFormat="1" x14ac:dyDescent="0.25">
      <c r="B112" s="27"/>
      <c r="C112" s="16"/>
      <c r="D112" s="16"/>
      <c r="E112" s="16"/>
    </row>
    <row r="113" spans="2:9" s="20" customFormat="1" x14ac:dyDescent="0.25">
      <c r="B113" s="27" t="s">
        <v>63</v>
      </c>
      <c r="C113" s="16">
        <v>18.63</v>
      </c>
      <c r="D113" s="16"/>
      <c r="E113" s="16">
        <v>11.116</v>
      </c>
      <c r="G113" s="14"/>
      <c r="I113" s="29"/>
    </row>
    <row r="114" spans="2:9" s="20" customFormat="1" x14ac:dyDescent="0.25">
      <c r="B114" s="27"/>
      <c r="C114" s="16"/>
      <c r="D114" s="16"/>
      <c r="E114" s="16"/>
    </row>
    <row r="115" spans="2:9" s="20" customFormat="1" x14ac:dyDescent="0.25">
      <c r="B115" s="27" t="s">
        <v>64</v>
      </c>
      <c r="C115" s="16">
        <v>12.715</v>
      </c>
      <c r="D115" s="16"/>
      <c r="E115" s="16">
        <v>19.350000000000001</v>
      </c>
      <c r="I115" s="14"/>
    </row>
    <row r="116" spans="2:9" s="20" customFormat="1" x14ac:dyDescent="0.25">
      <c r="B116" s="27"/>
      <c r="C116" s="16"/>
      <c r="D116" s="16"/>
      <c r="E116" s="16"/>
      <c r="I116" s="29"/>
    </row>
    <row r="117" spans="2:9" s="20" customFormat="1" x14ac:dyDescent="0.25">
      <c r="B117" s="27" t="s">
        <v>65</v>
      </c>
      <c r="C117" s="16">
        <v>0.63900000000000001</v>
      </c>
      <c r="D117" s="16"/>
      <c r="E117" s="16">
        <v>0.78200000000000003</v>
      </c>
      <c r="I117" s="14"/>
    </row>
    <row r="118" spans="2:9" s="20" customFormat="1" x14ac:dyDescent="0.25">
      <c r="C118" s="14"/>
      <c r="D118" s="14"/>
      <c r="E118" s="14"/>
    </row>
    <row r="119" spans="2:9" s="20" customFormat="1" x14ac:dyDescent="0.25">
      <c r="B119" s="19" t="s">
        <v>66</v>
      </c>
      <c r="C119" s="17">
        <f>+C109+C111+C113+C115+C117</f>
        <v>96.272999999999996</v>
      </c>
      <c r="D119" s="17"/>
      <c r="E119" s="17">
        <f t="shared" ref="E119" si="11">+E109+E111+E113+E115+E117</f>
        <v>90.792999999999992</v>
      </c>
      <c r="F119" s="14"/>
      <c r="I119" s="14"/>
    </row>
    <row r="120" spans="2:9" s="20" customFormat="1" x14ac:dyDescent="0.25">
      <c r="C120" s="14"/>
      <c r="D120" s="14"/>
      <c r="E120" s="14"/>
    </row>
    <row r="121" spans="2:9" s="20" customFormat="1" x14ac:dyDescent="0.25">
      <c r="B121" s="19" t="s">
        <v>67</v>
      </c>
      <c r="C121" s="17">
        <f>+C119+C104</f>
        <v>463.02600000000007</v>
      </c>
      <c r="D121" s="17"/>
      <c r="E121" s="17">
        <f>+E119+E104</f>
        <v>475.81299999999993</v>
      </c>
    </row>
    <row r="122" spans="2:9" s="20" customFormat="1" x14ac:dyDescent="0.25">
      <c r="C122" s="14"/>
      <c r="D122" s="14"/>
      <c r="E122" s="14"/>
    </row>
    <row r="123" spans="2:9" s="20" customFormat="1" x14ac:dyDescent="0.25">
      <c r="C123" s="14"/>
      <c r="D123" s="14"/>
      <c r="E123" s="14"/>
    </row>
    <row r="124" spans="2:9" s="20" customFormat="1" x14ac:dyDescent="0.25">
      <c r="C124" s="14"/>
      <c r="D124" s="14"/>
      <c r="E124" s="14"/>
    </row>
    <row r="125" spans="2:9" s="26" customFormat="1" x14ac:dyDescent="0.25">
      <c r="B125" s="25" t="s">
        <v>125</v>
      </c>
      <c r="C125" s="34">
        <f>+C82</f>
        <v>39813</v>
      </c>
      <c r="D125" s="34"/>
      <c r="E125" s="34">
        <f>+E82</f>
        <v>40178</v>
      </c>
    </row>
    <row r="126" spans="2:9" s="20" customFormat="1" x14ac:dyDescent="0.25">
      <c r="C126" s="14"/>
      <c r="D126" s="14"/>
      <c r="E126" s="14"/>
    </row>
    <row r="127" spans="2:9" s="20" customFormat="1" x14ac:dyDescent="0.25">
      <c r="B127" s="20" t="s">
        <v>69</v>
      </c>
      <c r="C127" s="14">
        <v>11.3</v>
      </c>
      <c r="D127" s="14"/>
      <c r="E127" s="14">
        <v>11.496</v>
      </c>
    </row>
    <row r="128" spans="2:9" s="20" customFormat="1" x14ac:dyDescent="0.25">
      <c r="B128" s="20" t="s">
        <v>70</v>
      </c>
      <c r="C128" s="14">
        <v>0</v>
      </c>
      <c r="D128" s="14"/>
      <c r="E128" s="14">
        <v>0</v>
      </c>
    </row>
    <row r="129" spans="2:7" s="20" customFormat="1" x14ac:dyDescent="0.25">
      <c r="B129" s="20" t="s">
        <v>71</v>
      </c>
      <c r="C129" s="14">
        <f>8.255+1.146</f>
        <v>9.4009999999999998</v>
      </c>
      <c r="D129" s="14"/>
      <c r="E129" s="14">
        <f>12.91+3.938</f>
        <v>16.847999999999999</v>
      </c>
    </row>
    <row r="130" spans="2:7" s="20" customFormat="1" x14ac:dyDescent="0.25">
      <c r="B130" s="20" t="s">
        <v>72</v>
      </c>
      <c r="C130" s="14">
        <v>0</v>
      </c>
      <c r="D130" s="14"/>
      <c r="E130" s="14">
        <v>0</v>
      </c>
    </row>
    <row r="131" spans="2:7" s="20" customFormat="1" x14ac:dyDescent="0.25">
      <c r="B131" s="20" t="s">
        <v>73</v>
      </c>
      <c r="C131" s="14">
        <v>4.6970000000000001</v>
      </c>
      <c r="D131" s="14"/>
      <c r="E131" s="14">
        <v>4.6509999999999998</v>
      </c>
    </row>
    <row r="132" spans="2:7" s="20" customFormat="1" x14ac:dyDescent="0.25">
      <c r="B132" s="27" t="s">
        <v>68</v>
      </c>
      <c r="C132" s="16">
        <f t="shared" ref="C132:E132" si="12">SUM(C127:C131)</f>
        <v>25.398</v>
      </c>
      <c r="D132" s="16"/>
      <c r="E132" s="16">
        <f t="shared" si="12"/>
        <v>32.995000000000005</v>
      </c>
    </row>
    <row r="133" spans="2:7" s="20" customFormat="1" x14ac:dyDescent="0.25">
      <c r="B133" s="27"/>
      <c r="C133" s="16"/>
      <c r="D133" s="16"/>
      <c r="E133" s="16"/>
    </row>
    <row r="134" spans="2:7" s="31" customFormat="1" x14ac:dyDescent="0.25">
      <c r="B134" s="31" t="s">
        <v>137</v>
      </c>
      <c r="C134" s="35">
        <v>0</v>
      </c>
      <c r="D134" s="35"/>
      <c r="E134" s="35">
        <v>-0.124</v>
      </c>
    </row>
    <row r="135" spans="2:7" s="31" customFormat="1" x14ac:dyDescent="0.25">
      <c r="B135" s="31" t="s">
        <v>120</v>
      </c>
      <c r="C135" s="35">
        <v>250.22499999999999</v>
      </c>
      <c r="D135" s="35"/>
      <c r="E135" s="35">
        <v>251.75399999999999</v>
      </c>
    </row>
    <row r="136" spans="2:7" s="31" customFormat="1" x14ac:dyDescent="0.25">
      <c r="B136" s="31" t="s">
        <v>138</v>
      </c>
      <c r="C136" s="35">
        <v>43.915999999999997</v>
      </c>
      <c r="D136" s="35"/>
      <c r="E136" s="35">
        <v>44.822000000000003</v>
      </c>
    </row>
    <row r="137" spans="2:7" s="20" customFormat="1" x14ac:dyDescent="0.25">
      <c r="B137" s="27" t="s">
        <v>122</v>
      </c>
      <c r="C137" s="16">
        <f>+C135+C136+C134</f>
        <v>294.14099999999996</v>
      </c>
      <c r="D137" s="16"/>
      <c r="E137" s="16">
        <f>+E135+E136+E134</f>
        <v>296.452</v>
      </c>
    </row>
    <row r="138" spans="2:7" s="20" customFormat="1" x14ac:dyDescent="0.25">
      <c r="C138" s="14"/>
      <c r="D138" s="14"/>
      <c r="E138" s="14"/>
    </row>
    <row r="139" spans="2:7" s="20" customFormat="1" x14ac:dyDescent="0.25">
      <c r="B139" s="27" t="s">
        <v>74</v>
      </c>
      <c r="C139" s="16">
        <f>7.977+22.37</f>
        <v>30.347000000000001</v>
      </c>
      <c r="D139" s="16"/>
      <c r="E139" s="16">
        <f>7.612+25.656</f>
        <v>33.268000000000001</v>
      </c>
    </row>
    <row r="140" spans="2:7" s="20" customFormat="1" x14ac:dyDescent="0.25">
      <c r="C140" s="14"/>
      <c r="D140" s="14"/>
      <c r="E140" s="14"/>
    </row>
    <row r="141" spans="2:7" s="20" customFormat="1" x14ac:dyDescent="0.25">
      <c r="B141" s="31" t="s">
        <v>75</v>
      </c>
      <c r="C141" s="14">
        <v>0</v>
      </c>
      <c r="D141" s="14"/>
      <c r="E141" s="14">
        <v>0</v>
      </c>
    </row>
    <row r="142" spans="2:7" s="20" customFormat="1" x14ac:dyDescent="0.25">
      <c r="B142" s="20" t="s">
        <v>76</v>
      </c>
      <c r="C142" s="14">
        <v>49.741999999999997</v>
      </c>
      <c r="D142" s="14"/>
      <c r="E142" s="14">
        <v>47.942999999999998</v>
      </c>
      <c r="G142" s="14"/>
    </row>
    <row r="143" spans="2:7" s="20" customFormat="1" x14ac:dyDescent="0.25">
      <c r="B143" s="20" t="s">
        <v>77</v>
      </c>
      <c r="C143" s="14">
        <v>2.355</v>
      </c>
      <c r="D143" s="14"/>
      <c r="E143" s="14">
        <v>2.262</v>
      </c>
    </row>
    <row r="144" spans="2:7" s="20" customFormat="1" x14ac:dyDescent="0.25">
      <c r="B144" s="20" t="s">
        <v>123</v>
      </c>
      <c r="C144" s="14">
        <v>13.615</v>
      </c>
      <c r="D144" s="14"/>
      <c r="E144" s="14">
        <v>14.808999999999999</v>
      </c>
    </row>
    <row r="145" spans="2:10" s="20" customFormat="1" x14ac:dyDescent="0.25">
      <c r="B145" s="20" t="s">
        <v>78</v>
      </c>
      <c r="C145" s="14">
        <v>25.286000000000001</v>
      </c>
      <c r="D145" s="14"/>
      <c r="E145" s="14">
        <v>24.331</v>
      </c>
    </row>
    <row r="146" spans="2:10" s="20" customFormat="1" x14ac:dyDescent="0.25">
      <c r="B146" s="20" t="s">
        <v>79</v>
      </c>
      <c r="C146" s="14">
        <v>17.013000000000002</v>
      </c>
      <c r="D146" s="14"/>
      <c r="E146" s="14">
        <v>18.530999999999999</v>
      </c>
    </row>
    <row r="147" spans="2:10" s="20" customFormat="1" x14ac:dyDescent="0.25">
      <c r="B147" s="20" t="s">
        <v>80</v>
      </c>
      <c r="C147" s="14">
        <v>0</v>
      </c>
      <c r="D147" s="14"/>
      <c r="E147" s="14">
        <v>0</v>
      </c>
    </row>
    <row r="148" spans="2:10" s="20" customFormat="1" x14ac:dyDescent="0.25">
      <c r="B148" s="20" t="s">
        <v>81</v>
      </c>
      <c r="C148" s="14">
        <v>2.5289999999999999</v>
      </c>
      <c r="D148" s="14"/>
      <c r="E148" s="14">
        <v>2.82</v>
      </c>
    </row>
    <row r="149" spans="2:10" s="20" customFormat="1" x14ac:dyDescent="0.25">
      <c r="C149" s="14"/>
      <c r="D149" s="14"/>
      <c r="E149" s="14"/>
    </row>
    <row r="150" spans="2:10" s="20" customFormat="1" x14ac:dyDescent="0.25">
      <c r="B150" s="20" t="s">
        <v>65</v>
      </c>
      <c r="C150" s="14">
        <v>2.6</v>
      </c>
      <c r="D150" s="14"/>
      <c r="E150" s="14">
        <v>2.4020000000000001</v>
      </c>
    </row>
    <row r="151" spans="2:10" s="20" customFormat="1" x14ac:dyDescent="0.25">
      <c r="C151" s="14"/>
      <c r="D151" s="14"/>
      <c r="E151" s="14"/>
    </row>
    <row r="152" spans="2:10" s="20" customFormat="1" x14ac:dyDescent="0.25">
      <c r="B152" s="19" t="s">
        <v>82</v>
      </c>
      <c r="C152" s="17">
        <f>+C132+C139+SUM(C141:C148)+C150+C137</f>
        <v>463.02599999999995</v>
      </c>
      <c r="D152" s="17"/>
      <c r="E152" s="17">
        <f>+E132+E139+SUM(E141:E148)+E150+E137</f>
        <v>475.81299999999999</v>
      </c>
      <c r="J152" s="30"/>
    </row>
    <row r="153" spans="2:10" s="32" customFormat="1" x14ac:dyDescent="0.25">
      <c r="C153" s="38">
        <f>+C152-C121</f>
        <v>0</v>
      </c>
      <c r="D153" s="23">
        <f t="shared" ref="D153:E153" si="13">+D152-D121</f>
        <v>0</v>
      </c>
      <c r="E153" s="38">
        <f t="shared" si="13"/>
        <v>0</v>
      </c>
      <c r="J153" s="24"/>
    </row>
    <row r="154" spans="2:10" s="20" customFormat="1" x14ac:dyDescent="0.25">
      <c r="C154" s="14"/>
      <c r="D154" s="14"/>
      <c r="E154" s="14"/>
      <c r="J154" s="14"/>
    </row>
    <row r="155" spans="2:10" s="20" customFormat="1" x14ac:dyDescent="0.25">
      <c r="C155" s="14"/>
      <c r="D155" s="14"/>
      <c r="E155" s="14"/>
    </row>
    <row r="156" spans="2:10" s="26" customFormat="1" x14ac:dyDescent="0.25">
      <c r="B156" s="25" t="s">
        <v>83</v>
      </c>
      <c r="C156" s="34">
        <f>+C125</f>
        <v>39813</v>
      </c>
      <c r="D156" s="34"/>
      <c r="E156" s="34">
        <f>+E125</f>
        <v>40178</v>
      </c>
    </row>
    <row r="157" spans="2:10" s="20" customFormat="1" ht="3.75" customHeight="1" x14ac:dyDescent="0.25">
      <c r="C157" s="14"/>
      <c r="D157" s="14"/>
      <c r="E157" s="14"/>
    </row>
    <row r="158" spans="2:10" s="20" customFormat="1" x14ac:dyDescent="0.25">
      <c r="B158" s="20" t="s">
        <v>25</v>
      </c>
      <c r="C158" s="14">
        <f>+C31</f>
        <v>21.232000000000028</v>
      </c>
      <c r="D158" s="14"/>
      <c r="E158" s="14">
        <f>+E31</f>
        <v>18.590000000000032</v>
      </c>
    </row>
    <row r="159" spans="2:10" s="20" customFormat="1" x14ac:dyDescent="0.25">
      <c r="B159" s="20" t="s">
        <v>126</v>
      </c>
      <c r="C159" s="14">
        <v>0</v>
      </c>
      <c r="D159" s="14"/>
      <c r="E159" s="14">
        <v>0</v>
      </c>
      <c r="H159" s="28"/>
      <c r="I159" s="28"/>
      <c r="J159" s="14"/>
    </row>
    <row r="160" spans="2:10" s="20" customFormat="1" x14ac:dyDescent="0.25">
      <c r="B160" s="20" t="s">
        <v>128</v>
      </c>
      <c r="C160" s="14">
        <v>0</v>
      </c>
      <c r="D160" s="14"/>
      <c r="E160" s="14">
        <v>0</v>
      </c>
    </row>
    <row r="161" spans="2:5" s="20" customFormat="1" x14ac:dyDescent="0.25">
      <c r="B161" s="20" t="s">
        <v>43</v>
      </c>
      <c r="C161" s="14">
        <v>0</v>
      </c>
      <c r="D161" s="14"/>
      <c r="E161" s="14">
        <v>0</v>
      </c>
    </row>
    <row r="162" spans="2:5" s="20" customFormat="1" x14ac:dyDescent="0.25">
      <c r="B162" s="20" t="s">
        <v>129</v>
      </c>
      <c r="C162" s="14">
        <v>0</v>
      </c>
      <c r="D162" s="14"/>
      <c r="E162" s="14">
        <v>0</v>
      </c>
    </row>
    <row r="163" spans="2:5" s="20" customFormat="1" x14ac:dyDescent="0.25">
      <c r="B163" s="20" t="s">
        <v>130</v>
      </c>
      <c r="C163" s="14">
        <v>0</v>
      </c>
      <c r="D163" s="14"/>
      <c r="E163" s="14">
        <v>0</v>
      </c>
    </row>
    <row r="164" spans="2:5" s="32" customFormat="1" x14ac:dyDescent="0.25">
      <c r="B164" s="32" t="s">
        <v>92</v>
      </c>
      <c r="C164" s="24">
        <f>-21.232+14.327</f>
        <v>-6.9049999999999994</v>
      </c>
      <c r="D164" s="24"/>
      <c r="E164" s="24">
        <f>-18.59+13.576</f>
        <v>-5.0139999999999993</v>
      </c>
    </row>
    <row r="165" spans="2:5" s="20" customFormat="1" ht="3.75" customHeight="1" x14ac:dyDescent="0.25">
      <c r="C165" s="14"/>
      <c r="D165" s="14"/>
      <c r="E165" s="14"/>
    </row>
    <row r="166" spans="2:5" s="20" customFormat="1" x14ac:dyDescent="0.25">
      <c r="B166" s="27" t="s">
        <v>127</v>
      </c>
      <c r="C166" s="16">
        <f>SUM(C158:C164)</f>
        <v>14.327000000000028</v>
      </c>
      <c r="D166" s="16"/>
      <c r="E166" s="16">
        <f>SUM(E158:E164)</f>
        <v>13.576000000000032</v>
      </c>
    </row>
    <row r="167" spans="2:5" s="20" customFormat="1" x14ac:dyDescent="0.25">
      <c r="B167" s="20" t="s">
        <v>84</v>
      </c>
      <c r="C167" s="14">
        <v>-51.564</v>
      </c>
      <c r="D167" s="14"/>
      <c r="E167" s="14">
        <f>-31.517+0.357+0.233-0.347</f>
        <v>-31.274000000000001</v>
      </c>
    </row>
    <row r="168" spans="2:5" s="20" customFormat="1" x14ac:dyDescent="0.25">
      <c r="B168" s="20" t="s">
        <v>85</v>
      </c>
      <c r="C168" s="14">
        <v>-4.3540000000000001</v>
      </c>
      <c r="D168" s="14"/>
      <c r="E168" s="14">
        <v>8.9719999999999995</v>
      </c>
    </row>
    <row r="169" spans="2:5" s="20" customFormat="1" x14ac:dyDescent="0.25">
      <c r="B169" s="32" t="s">
        <v>92</v>
      </c>
      <c r="C169" s="24">
        <v>0</v>
      </c>
      <c r="D169" s="24"/>
      <c r="E169" s="24">
        <v>-0.10199999999999999</v>
      </c>
    </row>
    <row r="170" spans="2:5" s="20" customFormat="1" ht="3.75" customHeight="1" x14ac:dyDescent="0.25">
      <c r="C170" s="14"/>
      <c r="D170" s="14"/>
      <c r="E170" s="14"/>
    </row>
    <row r="171" spans="2:5" s="20" customFormat="1" x14ac:dyDescent="0.25">
      <c r="B171" s="19" t="s">
        <v>86</v>
      </c>
      <c r="C171" s="17">
        <f>SUM(C166:C169)</f>
        <v>-41.590999999999973</v>
      </c>
      <c r="D171" s="17"/>
      <c r="E171" s="17">
        <f>SUM(E166:E169)</f>
        <v>-8.8279999999999692</v>
      </c>
    </row>
    <row r="172" spans="2:5" s="20" customFormat="1" x14ac:dyDescent="0.25">
      <c r="C172" s="14"/>
      <c r="D172" s="14"/>
      <c r="E172" s="14"/>
    </row>
    <row r="173" spans="2:5" s="20" customFormat="1" x14ac:dyDescent="0.25">
      <c r="B173" s="20" t="s">
        <v>139</v>
      </c>
      <c r="C173" s="14">
        <v>9.3320000000000007</v>
      </c>
      <c r="D173" s="14">
        <f>-D25</f>
        <v>0</v>
      </c>
      <c r="E173" s="14">
        <v>9.3330000000000002</v>
      </c>
    </row>
    <row r="174" spans="2:5" s="20" customFormat="1" x14ac:dyDescent="0.25">
      <c r="B174" s="21" t="s">
        <v>140</v>
      </c>
      <c r="C174" s="14">
        <v>0</v>
      </c>
      <c r="D174" s="14"/>
      <c r="E174" s="14">
        <v>3.3</v>
      </c>
    </row>
    <row r="175" spans="2:5" s="20" customFormat="1" x14ac:dyDescent="0.25">
      <c r="B175" s="20" t="s">
        <v>87</v>
      </c>
      <c r="C175" s="14">
        <f>27.675-0.774</f>
        <v>26.901</v>
      </c>
      <c r="D175" s="14"/>
      <c r="E175" s="14">
        <f>4.366-1.266</f>
        <v>3.0999999999999996</v>
      </c>
    </row>
    <row r="176" spans="2:5" s="20" customFormat="1" x14ac:dyDescent="0.25">
      <c r="B176" s="21" t="s">
        <v>142</v>
      </c>
      <c r="C176" s="14">
        <v>0</v>
      </c>
      <c r="D176" s="14"/>
      <c r="E176" s="14">
        <v>6.9000000000000006E-2</v>
      </c>
    </row>
    <row r="177" spans="2:11" s="20" customFormat="1" x14ac:dyDescent="0.25">
      <c r="B177" s="20" t="s">
        <v>141</v>
      </c>
      <c r="C177" s="14">
        <v>-0.80200000000000005</v>
      </c>
      <c r="D177" s="14"/>
      <c r="E177" s="14">
        <v>-0.33900000000000002</v>
      </c>
      <c r="J177" s="14"/>
      <c r="K177" s="14"/>
    </row>
    <row r="178" spans="2:11" s="20" customFormat="1" x14ac:dyDescent="0.25">
      <c r="C178" s="14"/>
      <c r="D178" s="14"/>
      <c r="E178" s="14"/>
    </row>
    <row r="179" spans="2:11" s="20" customFormat="1" x14ac:dyDescent="0.25">
      <c r="B179" s="19" t="s">
        <v>88</v>
      </c>
      <c r="C179" s="17">
        <f>+C171+C173+C175+C177</f>
        <v>-6.1599999999999717</v>
      </c>
      <c r="D179" s="17"/>
      <c r="E179" s="17">
        <f>+E171+E173+E175+E177+E174+E176</f>
        <v>6.6350000000000309</v>
      </c>
      <c r="G179" s="39"/>
    </row>
    <row r="180" spans="2:11" s="20" customFormat="1" x14ac:dyDescent="0.25">
      <c r="B180" s="20" t="s">
        <v>91</v>
      </c>
      <c r="C180" s="28"/>
      <c r="D180" s="14"/>
      <c r="E180" s="14">
        <f>+E115-C115</f>
        <v>6.6350000000000016</v>
      </c>
      <c r="G180" s="14"/>
    </row>
    <row r="181" spans="2:11" s="20" customFormat="1" x14ac:dyDescent="0.25">
      <c r="C181" s="14"/>
      <c r="D181" s="14"/>
      <c r="E181" s="14"/>
    </row>
    <row r="182" spans="2:11" s="12" customFormat="1" x14ac:dyDescent="0.25">
      <c r="C182" s="13"/>
      <c r="D182" s="13"/>
      <c r="E182" s="13"/>
    </row>
    <row r="183" spans="2:11" s="12" customFormat="1" x14ac:dyDescent="0.25">
      <c r="B183" s="12" t="s">
        <v>90</v>
      </c>
      <c r="C183" s="13">
        <f>+C109+C111+C113+C117-C145-C146-C147-C148-C150</f>
        <v>36.129999999999988</v>
      </c>
      <c r="D183" s="13"/>
      <c r="E183" s="13">
        <f>+E109+E111+E113+E117-E145-E146-E147-E148-E150</f>
        <v>23.358999999999995</v>
      </c>
    </row>
    <row r="184" spans="2:11" s="12" customFormat="1" x14ac:dyDescent="0.25">
      <c r="B184" s="12" t="s">
        <v>93</v>
      </c>
      <c r="C184" s="13">
        <f>+C183/C10*365</f>
        <v>73.390005008625948</v>
      </c>
      <c r="D184" s="13"/>
      <c r="E184" s="13">
        <f>+E183/E10*365</f>
        <v>46.534158202389449</v>
      </c>
    </row>
    <row r="185" spans="2:11" s="12" customFormat="1" x14ac:dyDescent="0.25">
      <c r="B185" s="12" t="s">
        <v>103</v>
      </c>
      <c r="C185" s="13">
        <f>+(C109+C111-C145)/C10*365</f>
        <v>79.225861205409316</v>
      </c>
      <c r="D185" s="13"/>
      <c r="E185" s="13">
        <f>+(E109+E111-E145)/E10*365</f>
        <v>70.150856069991974</v>
      </c>
    </row>
    <row r="186" spans="2:11" s="12" customFormat="1" x14ac:dyDescent="0.25">
      <c r="B186" s="12" t="s">
        <v>105</v>
      </c>
      <c r="C186" s="13">
        <f>+C111/(C10*1.196)*365</f>
        <v>94.313371542331097</v>
      </c>
      <c r="D186" s="13"/>
      <c r="E186" s="13">
        <f>+E111/(E10*1.196)*365</f>
        <v>83.303003104297957</v>
      </c>
    </row>
    <row r="187" spans="2:11" s="12" customFormat="1" x14ac:dyDescent="0.25">
      <c r="B187" s="12" t="s">
        <v>104</v>
      </c>
      <c r="C187" s="13">
        <f>+C106/(C20+C21+C22)*365</f>
        <v>0</v>
      </c>
      <c r="D187" s="13"/>
      <c r="E187" s="13">
        <f>+E106/(E20+E21+E22)*365</f>
        <v>0</v>
      </c>
    </row>
    <row r="188" spans="2:11" s="12" customFormat="1" x14ac:dyDescent="0.25">
      <c r="B188" s="12" t="s">
        <v>106</v>
      </c>
      <c r="C188" s="13">
        <f>+C145/((C20+C21+C22)*1.196)*365</f>
        <v>66.501333760507151</v>
      </c>
      <c r="D188" s="13"/>
      <c r="E188" s="13">
        <f>+E145/((E20+E21+E22)*1.196)*365</f>
        <v>63.980893888405603</v>
      </c>
    </row>
    <row r="189" spans="2:11" s="12" customFormat="1" x14ac:dyDescent="0.25">
      <c r="C189" s="13"/>
      <c r="D189" s="13"/>
      <c r="E189" s="13"/>
    </row>
    <row r="190" spans="2:11" s="12" customFormat="1" x14ac:dyDescent="0.25">
      <c r="B190" s="12" t="s">
        <v>107</v>
      </c>
      <c r="C190" s="13"/>
      <c r="D190" s="13"/>
      <c r="E190" s="13"/>
    </row>
    <row r="191" spans="2:11" s="12" customFormat="1" x14ac:dyDescent="0.25">
      <c r="B191" s="12" t="s">
        <v>55</v>
      </c>
      <c r="C191" s="13"/>
      <c r="D191" s="13"/>
      <c r="E191" s="13"/>
    </row>
    <row r="192" spans="2:11" s="12" customFormat="1" x14ac:dyDescent="0.25">
      <c r="B192" s="12" t="s">
        <v>108</v>
      </c>
      <c r="C192" s="13"/>
      <c r="D192" s="13"/>
      <c r="E192" s="13"/>
    </row>
    <row r="193" spans="2:5" s="12" customFormat="1" x14ac:dyDescent="0.25">
      <c r="B193" s="12" t="s">
        <v>110</v>
      </c>
      <c r="C193" s="13"/>
      <c r="D193" s="13"/>
      <c r="E193" s="13"/>
    </row>
    <row r="194" spans="2:5" s="12" customFormat="1" x14ac:dyDescent="0.25">
      <c r="B194" s="12" t="s">
        <v>109</v>
      </c>
      <c r="C194" s="13"/>
      <c r="D194" s="13"/>
      <c r="E194" s="13"/>
    </row>
    <row r="195" spans="2:5" s="12" customFormat="1" x14ac:dyDescent="0.25">
      <c r="C195" s="13"/>
      <c r="D195" s="13"/>
      <c r="E195" s="13"/>
    </row>
    <row r="196" spans="2:5" s="12" customFormat="1" x14ac:dyDescent="0.25">
      <c r="B196" s="12" t="s">
        <v>112</v>
      </c>
      <c r="C196" s="13"/>
      <c r="D196" s="13"/>
      <c r="E196" s="13"/>
    </row>
    <row r="197" spans="2:5" s="12" customFormat="1" x14ac:dyDescent="0.25">
      <c r="C197" s="13"/>
      <c r="D197" s="13"/>
      <c r="E197" s="13"/>
    </row>
    <row r="198" spans="2:5" s="12" customFormat="1" x14ac:dyDescent="0.25">
      <c r="B198" s="12" t="s">
        <v>111</v>
      </c>
      <c r="C198" s="13"/>
      <c r="D198" s="13"/>
      <c r="E198" s="13"/>
    </row>
    <row r="199" spans="2:5" s="12" customFormat="1" x14ac:dyDescent="0.25">
      <c r="C199" s="13"/>
      <c r="D199" s="13"/>
      <c r="E199" s="13"/>
    </row>
  </sheetData>
  <pageMargins left="0.7" right="0.7" top="0.75" bottom="0.75" header="0.3" footer="0.3"/>
  <pageSetup paperSize="9" orientation="portrait" horizontalDpi="4294967293" verticalDpi="4294967293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N248"/>
  <sheetViews>
    <sheetView zoomScale="90" zoomScaleNormal="90" workbookViewId="0">
      <selection activeCell="K19" sqref="K19"/>
    </sheetView>
  </sheetViews>
  <sheetFormatPr baseColWidth="10" defaultRowHeight="15" x14ac:dyDescent="0.25"/>
  <cols>
    <col min="1" max="1" width="2.85546875" customWidth="1"/>
    <col min="2" max="2" width="49.28515625" customWidth="1"/>
    <col min="3" max="3" width="11.42578125" style="13"/>
    <col min="4" max="4" width="1" style="1" customWidth="1"/>
    <col min="5" max="5" width="12.7109375" style="4" customWidth="1"/>
    <col min="6" max="8" width="12.7109375" customWidth="1"/>
  </cols>
  <sheetData>
    <row r="1" spans="2:10" s="20" customFormat="1" x14ac:dyDescent="0.25">
      <c r="C1" s="14"/>
      <c r="D1" s="14"/>
      <c r="E1" s="28"/>
    </row>
    <row r="2" spans="2:10" s="20" customFormat="1" x14ac:dyDescent="0.25">
      <c r="C2" s="14"/>
      <c r="D2" s="14"/>
      <c r="E2" s="28"/>
      <c r="H2" s="125"/>
    </row>
    <row r="3" spans="2:10" s="20" customFormat="1" x14ac:dyDescent="0.25">
      <c r="C3" s="14"/>
      <c r="D3" s="14"/>
      <c r="E3" s="126" t="s">
        <v>248</v>
      </c>
      <c r="H3" s="125"/>
    </row>
    <row r="4" spans="2:10" s="20" customFormat="1" x14ac:dyDescent="0.25">
      <c r="C4" s="37"/>
      <c r="D4" s="14"/>
      <c r="E4" s="126" t="s">
        <v>210</v>
      </c>
      <c r="F4" s="547" t="s">
        <v>259</v>
      </c>
      <c r="G4" s="547"/>
      <c r="H4" s="547"/>
    </row>
    <row r="5" spans="2:10" s="26" customFormat="1" x14ac:dyDescent="0.25">
      <c r="B5" s="25" t="s">
        <v>114</v>
      </c>
      <c r="C5" s="15">
        <f>+E5-365</f>
        <v>40543</v>
      </c>
      <c r="D5" s="15"/>
      <c r="E5" s="127">
        <v>40908</v>
      </c>
      <c r="F5" s="127">
        <f>+E5+366</f>
        <v>41274</v>
      </c>
      <c r="G5" s="127">
        <f>+F5+365</f>
        <v>41639</v>
      </c>
      <c r="H5" s="127">
        <f>+G5+365</f>
        <v>42004</v>
      </c>
    </row>
    <row r="6" spans="2:10" s="20" customFormat="1" ht="5.25" customHeight="1" x14ac:dyDescent="0.25">
      <c r="B6" s="27"/>
      <c r="C6" s="16"/>
      <c r="D6" s="16"/>
      <c r="E6" s="122"/>
    </row>
    <row r="7" spans="2:10" s="32" customFormat="1" ht="15" customHeight="1" x14ac:dyDescent="0.25">
      <c r="B7" s="32" t="s">
        <v>359</v>
      </c>
      <c r="C7" s="124"/>
      <c r="D7" s="24"/>
      <c r="E7" s="32">
        <v>1.1870000000000001</v>
      </c>
      <c r="F7" s="131">
        <f>+E7*(1+$J7)</f>
        <v>1.1870000000000001</v>
      </c>
      <c r="G7" s="131">
        <f t="shared" ref="G7:H7" si="0">+F7*(1+$J7)</f>
        <v>1.1870000000000001</v>
      </c>
      <c r="H7" s="131">
        <f t="shared" si="0"/>
        <v>1.1870000000000001</v>
      </c>
      <c r="J7" s="391">
        <v>0</v>
      </c>
    </row>
    <row r="8" spans="2:10" s="32" customFormat="1" ht="15" customHeight="1" x14ac:dyDescent="0.25">
      <c r="B8" s="32" t="s">
        <v>245</v>
      </c>
      <c r="C8" s="124"/>
      <c r="D8" s="24"/>
      <c r="E8" s="131">
        <f>101.61/E7</f>
        <v>85.602358887952818</v>
      </c>
      <c r="F8" s="131">
        <f>+E8*(1+$J8)</f>
        <v>87.314406065711879</v>
      </c>
      <c r="G8" s="131">
        <f t="shared" ref="G8:H8" si="1">+F8*(1+$J8)</f>
        <v>89.060694187026115</v>
      </c>
      <c r="H8" s="131">
        <f t="shared" si="1"/>
        <v>90.841908070766635</v>
      </c>
      <c r="J8" s="391">
        <v>0.02</v>
      </c>
    </row>
    <row r="9" spans="2:10" s="20" customFormat="1" ht="15" customHeight="1" x14ac:dyDescent="0.25">
      <c r="B9" s="27" t="s">
        <v>213</v>
      </c>
      <c r="C9" s="122">
        <f>201.388-50.715-46.173</f>
        <v>104.5</v>
      </c>
      <c r="D9" s="16"/>
      <c r="E9" s="122">
        <f>+E7*E8</f>
        <v>101.61</v>
      </c>
      <c r="F9" s="132">
        <f>+F7*F8</f>
        <v>103.6422</v>
      </c>
      <c r="G9" s="132">
        <f>+G7*G8</f>
        <v>105.71504400000001</v>
      </c>
      <c r="H9" s="132">
        <f>+H7*H8</f>
        <v>107.82934488000001</v>
      </c>
    </row>
    <row r="10" spans="2:10" s="20" customFormat="1" ht="15" customHeight="1" x14ac:dyDescent="0.25">
      <c r="B10" s="32" t="s">
        <v>244</v>
      </c>
      <c r="C10" s="123">
        <v>4.9850000000000003</v>
      </c>
      <c r="D10" s="35"/>
      <c r="E10" s="123">
        <v>5.3</v>
      </c>
      <c r="F10" s="67">
        <f>+E10+2.3/4</f>
        <v>5.875</v>
      </c>
      <c r="G10" s="67">
        <f t="shared" ref="G10:H10" si="2">+F10+2.3/4</f>
        <v>6.45</v>
      </c>
      <c r="H10" s="67">
        <f t="shared" si="2"/>
        <v>7.0250000000000004</v>
      </c>
    </row>
    <row r="11" spans="2:10" s="20" customFormat="1" ht="15" customHeight="1" x14ac:dyDescent="0.25">
      <c r="B11" s="32" t="s">
        <v>245</v>
      </c>
      <c r="C11" s="123"/>
      <c r="D11" s="35"/>
      <c r="E11" s="123">
        <f>+E12/E10</f>
        <v>2.0409433962264152</v>
      </c>
      <c r="F11" s="67">
        <f>+E11*1.02</f>
        <v>2.0817622641509437</v>
      </c>
      <c r="G11" s="67">
        <f t="shared" ref="G11:H11" si="3">+F11*1.02</f>
        <v>2.1233975094339628</v>
      </c>
      <c r="H11" s="67">
        <f t="shared" si="3"/>
        <v>2.1658654596226419</v>
      </c>
    </row>
    <row r="12" spans="2:10" s="20" customFormat="1" ht="15" customHeight="1" x14ac:dyDescent="0.25">
      <c r="B12" s="27" t="s">
        <v>214</v>
      </c>
      <c r="C12" s="122">
        <v>7.7130000000000001</v>
      </c>
      <c r="D12" s="16"/>
      <c r="E12" s="122">
        <v>10.817</v>
      </c>
      <c r="F12" s="132">
        <f>+F10*F11</f>
        <v>12.230353301886794</v>
      </c>
      <c r="G12" s="132">
        <f t="shared" ref="G12:H12" si="4">+G10*G11</f>
        <v>13.69591393584906</v>
      </c>
      <c r="H12" s="132">
        <f t="shared" si="4"/>
        <v>15.215204853849061</v>
      </c>
    </row>
    <row r="13" spans="2:10" s="32" customFormat="1" ht="15" customHeight="1" x14ac:dyDescent="0.25">
      <c r="B13" s="32" t="s">
        <v>244</v>
      </c>
      <c r="C13" s="124"/>
      <c r="D13" s="24"/>
      <c r="E13" s="124">
        <v>2.68</v>
      </c>
      <c r="F13" s="32">
        <f>+E13+1.3/4</f>
        <v>3.0050000000000003</v>
      </c>
      <c r="G13" s="32">
        <f t="shared" ref="G13:H13" si="5">+F13+1.3/4</f>
        <v>3.3300000000000005</v>
      </c>
      <c r="H13" s="32">
        <f t="shared" si="5"/>
        <v>3.6550000000000007</v>
      </c>
    </row>
    <row r="14" spans="2:10" s="32" customFormat="1" ht="15" customHeight="1" x14ac:dyDescent="0.25">
      <c r="B14" s="32" t="s">
        <v>246</v>
      </c>
      <c r="C14" s="124"/>
      <c r="D14" s="24"/>
      <c r="E14" s="124">
        <v>4.915</v>
      </c>
      <c r="F14" s="131">
        <f>+E14/E13*F13</f>
        <v>5.511035447761194</v>
      </c>
      <c r="G14" s="131">
        <f t="shared" ref="G14:H14" si="6">+F14/F13*G13</f>
        <v>6.107070895522388</v>
      </c>
      <c r="H14" s="131">
        <f t="shared" si="6"/>
        <v>6.703106343283582</v>
      </c>
    </row>
    <row r="15" spans="2:10" s="32" customFormat="1" ht="15" customHeight="1" x14ac:dyDescent="0.25">
      <c r="B15" s="32" t="s">
        <v>247</v>
      </c>
      <c r="C15" s="124"/>
      <c r="D15" s="24"/>
      <c r="E15" s="124">
        <v>0.81399999999999995</v>
      </c>
      <c r="F15" s="131">
        <f>+E15*1.02</f>
        <v>0.83027999999999991</v>
      </c>
      <c r="G15" s="131">
        <f t="shared" ref="G15" si="7">+F15*1.02</f>
        <v>0.84688559999999991</v>
      </c>
      <c r="H15" s="131">
        <f>+G15*1.02</f>
        <v>0.86382331199999995</v>
      </c>
    </row>
    <row r="16" spans="2:10" s="20" customFormat="1" ht="15" customHeight="1" x14ac:dyDescent="0.25">
      <c r="B16" s="27" t="s">
        <v>215</v>
      </c>
      <c r="C16" s="122">
        <v>4.0979999999999999</v>
      </c>
      <c r="D16" s="16"/>
      <c r="E16" s="122">
        <v>4.1639999999999997</v>
      </c>
      <c r="F16" s="132">
        <f>+F14*F15</f>
        <v>4.5757025115671635</v>
      </c>
      <c r="G16" s="132">
        <f>+G14*G15</f>
        <v>5.1719903995970142</v>
      </c>
      <c r="H16" s="132">
        <f>+H14*H15</f>
        <v>5.7902995221434326</v>
      </c>
    </row>
    <row r="17" spans="2:9" s="20" customFormat="1" ht="15" customHeight="1" x14ac:dyDescent="0.25">
      <c r="B17" s="27" t="s">
        <v>216</v>
      </c>
      <c r="C17" s="122">
        <v>50.715000000000003</v>
      </c>
      <c r="D17" s="16"/>
      <c r="E17" s="122">
        <v>44.607999999999997</v>
      </c>
      <c r="F17" s="122">
        <f>+E17</f>
        <v>44.607999999999997</v>
      </c>
      <c r="G17" s="122">
        <f t="shared" ref="G17:H17" si="8">+F17</f>
        <v>44.607999999999997</v>
      </c>
      <c r="H17" s="122">
        <f t="shared" si="8"/>
        <v>44.607999999999997</v>
      </c>
    </row>
    <row r="18" spans="2:9" s="20" customFormat="1" ht="15" customHeight="1" x14ac:dyDescent="0.25">
      <c r="B18" s="27" t="s">
        <v>217</v>
      </c>
      <c r="C18" s="122">
        <v>46.173000000000002</v>
      </c>
      <c r="D18" s="16"/>
      <c r="E18" s="122">
        <v>55.17</v>
      </c>
      <c r="F18" s="122">
        <f>+E18+1.02</f>
        <v>56.190000000000005</v>
      </c>
      <c r="G18" s="122">
        <f t="shared" ref="G18:H18" si="9">+F18+1.02</f>
        <v>57.210000000000008</v>
      </c>
      <c r="H18" s="122">
        <f t="shared" si="9"/>
        <v>58.230000000000011</v>
      </c>
    </row>
    <row r="19" spans="2:9" s="20" customFormat="1" ht="15" customHeight="1" x14ac:dyDescent="0.25">
      <c r="B19" s="44" t="s">
        <v>238</v>
      </c>
      <c r="C19" s="46">
        <f>SUM(C16:C18)+C12+C9</f>
        <v>213.19900000000001</v>
      </c>
      <c r="D19" s="17"/>
      <c r="E19" s="46">
        <f>SUM(E16:E18)+E12+E9</f>
        <v>216.36900000000003</v>
      </c>
      <c r="F19" s="46">
        <f>SUM(F16:F18)+F12+F9</f>
        <v>221.24625581345396</v>
      </c>
      <c r="G19" s="46">
        <f>SUM(G16:G18)+G12+G9</f>
        <v>226.40094833544609</v>
      </c>
      <c r="H19" s="46">
        <f>SUM(H16:H18)+H12+H9</f>
        <v>231.6728492559925</v>
      </c>
    </row>
    <row r="20" spans="2:9" s="20" customFormat="1" ht="4.5" customHeight="1" x14ac:dyDescent="0.25">
      <c r="B20" s="27"/>
      <c r="C20" s="122"/>
      <c r="D20" s="16"/>
      <c r="E20" s="122"/>
    </row>
    <row r="21" spans="2:9" s="20" customFormat="1" ht="15" customHeight="1" x14ac:dyDescent="0.25">
      <c r="B21" s="31" t="s">
        <v>218</v>
      </c>
      <c r="C21" s="123">
        <v>9.1910000000000007</v>
      </c>
      <c r="D21" s="35"/>
      <c r="E21" s="123">
        <v>7.5</v>
      </c>
      <c r="F21" s="28">
        <f t="shared" ref="F21:F27" si="10">+E21*1.02</f>
        <v>7.65</v>
      </c>
      <c r="G21" s="28">
        <f t="shared" ref="G21:H21" si="11">+F21*1.02</f>
        <v>7.8030000000000008</v>
      </c>
      <c r="H21" s="28">
        <f t="shared" si="11"/>
        <v>7.9590600000000009</v>
      </c>
    </row>
    <row r="22" spans="2:9" s="20" customFormat="1" x14ac:dyDescent="0.25">
      <c r="B22" s="31" t="s">
        <v>219</v>
      </c>
      <c r="C22" s="123">
        <v>14.901</v>
      </c>
      <c r="D22" s="35"/>
      <c r="E22" s="123">
        <v>15.106</v>
      </c>
      <c r="F22" s="28">
        <f t="shared" si="10"/>
        <v>15.40812</v>
      </c>
      <c r="G22" s="28">
        <f t="shared" ref="G22:H27" si="12">+F22*1.02</f>
        <v>15.716282400000001</v>
      </c>
      <c r="H22" s="28">
        <f t="shared" si="12"/>
        <v>16.030608048000001</v>
      </c>
    </row>
    <row r="23" spans="2:9" s="20" customFormat="1" x14ac:dyDescent="0.25">
      <c r="B23" s="31" t="s">
        <v>262</v>
      </c>
      <c r="C23" s="123">
        <v>3.1779999999999999</v>
      </c>
      <c r="D23" s="35"/>
      <c r="E23" s="123">
        <v>3.2669999999999999</v>
      </c>
      <c r="F23" s="28">
        <f t="shared" si="10"/>
        <v>3.3323399999999999</v>
      </c>
      <c r="G23" s="28">
        <f t="shared" si="12"/>
        <v>3.3989867999999999</v>
      </c>
      <c r="H23" s="28">
        <f t="shared" si="12"/>
        <v>3.4669665359999997</v>
      </c>
    </row>
    <row r="24" spans="2:9" s="20" customFormat="1" x14ac:dyDescent="0.25">
      <c r="B24" s="31" t="s">
        <v>220</v>
      </c>
      <c r="C24" s="123">
        <v>2.879</v>
      </c>
      <c r="D24" s="35"/>
      <c r="E24" s="123">
        <v>4.4539999999999997</v>
      </c>
      <c r="F24" s="28">
        <f t="shared" si="10"/>
        <v>4.5430799999999998</v>
      </c>
      <c r="G24" s="28">
        <f t="shared" si="12"/>
        <v>4.6339416</v>
      </c>
      <c r="H24" s="28">
        <f t="shared" si="12"/>
        <v>4.7266204319999998</v>
      </c>
    </row>
    <row r="25" spans="2:9" s="20" customFormat="1" x14ac:dyDescent="0.25">
      <c r="B25" s="31" t="s">
        <v>221</v>
      </c>
      <c r="C25" s="123">
        <v>0.314</v>
      </c>
      <c r="D25" s="35"/>
      <c r="E25" s="123">
        <v>0.188</v>
      </c>
      <c r="F25" s="28">
        <f>+E25/2</f>
        <v>9.4E-2</v>
      </c>
      <c r="G25" s="28">
        <v>0</v>
      </c>
      <c r="H25" s="28">
        <f t="shared" si="12"/>
        <v>0</v>
      </c>
      <c r="I25" s="20" t="s">
        <v>360</v>
      </c>
    </row>
    <row r="26" spans="2:9" s="20" customFormat="1" x14ac:dyDescent="0.25">
      <c r="B26" s="31" t="s">
        <v>222</v>
      </c>
      <c r="C26" s="123">
        <v>0.18</v>
      </c>
      <c r="D26" s="35"/>
      <c r="E26" s="123">
        <v>0.19900000000000001</v>
      </c>
      <c r="F26" s="28">
        <f t="shared" si="10"/>
        <v>0.20298000000000002</v>
      </c>
      <c r="G26" s="28">
        <f t="shared" si="12"/>
        <v>0.20703960000000002</v>
      </c>
      <c r="H26" s="28">
        <f t="shared" si="12"/>
        <v>0.21118039200000002</v>
      </c>
    </row>
    <row r="27" spans="2:9" s="20" customFormat="1" x14ac:dyDescent="0.25">
      <c r="B27" s="31" t="s">
        <v>223</v>
      </c>
      <c r="C27" s="123">
        <f>2.277+0.057+0.277+0.002-0.314</f>
        <v>2.2989999999999999</v>
      </c>
      <c r="D27" s="35"/>
      <c r="E27" s="123">
        <v>1.919</v>
      </c>
      <c r="F27" s="28">
        <f t="shared" si="10"/>
        <v>1.9573800000000001</v>
      </c>
      <c r="G27" s="28">
        <f t="shared" si="12"/>
        <v>1.9965276000000001</v>
      </c>
      <c r="H27" s="28">
        <f t="shared" si="12"/>
        <v>2.0364581520000002</v>
      </c>
    </row>
    <row r="28" spans="2:9" s="20" customFormat="1" x14ac:dyDescent="0.25">
      <c r="B28" s="27" t="s">
        <v>224</v>
      </c>
      <c r="C28" s="122">
        <f>SUM(C21:C27)</f>
        <v>32.942</v>
      </c>
      <c r="D28" s="16"/>
      <c r="E28" s="122">
        <f>SUM(E21:E27)</f>
        <v>32.633000000000003</v>
      </c>
      <c r="F28" s="122">
        <f t="shared" ref="F28:H28" si="13">SUM(F21:F27)</f>
        <v>33.187899999999999</v>
      </c>
      <c r="G28" s="122">
        <f t="shared" si="13"/>
        <v>33.755777999999999</v>
      </c>
      <c r="H28" s="122">
        <f t="shared" si="13"/>
        <v>34.430893560000008</v>
      </c>
    </row>
    <row r="29" spans="2:9" s="20" customFormat="1" ht="4.5" customHeight="1" x14ac:dyDescent="0.25">
      <c r="B29" s="31"/>
      <c r="C29" s="123"/>
      <c r="D29" s="35"/>
      <c r="E29" s="123"/>
      <c r="F29" s="123"/>
      <c r="G29" s="123"/>
      <c r="H29" s="123"/>
    </row>
    <row r="30" spans="2:9" s="20" customFormat="1" x14ac:dyDescent="0.25">
      <c r="B30" s="27" t="s">
        <v>3</v>
      </c>
      <c r="C30" s="122">
        <f>+C28+C19</f>
        <v>246.14100000000002</v>
      </c>
      <c r="D30" s="16"/>
      <c r="E30" s="122">
        <f>+E28+E19</f>
        <v>249.00200000000004</v>
      </c>
      <c r="F30" s="122">
        <f t="shared" ref="F30:H30" si="14">+F28+F19</f>
        <v>254.43415581345397</v>
      </c>
      <c r="G30" s="122">
        <f t="shared" si="14"/>
        <v>260.15672633544608</v>
      </c>
      <c r="H30" s="122">
        <f t="shared" si="14"/>
        <v>266.10374281599252</v>
      </c>
    </row>
    <row r="31" spans="2:9" s="20" customFormat="1" x14ac:dyDescent="0.25">
      <c r="C31" s="28"/>
      <c r="D31" s="28"/>
      <c r="E31" s="28"/>
      <c r="F31" s="28"/>
      <c r="G31" s="28"/>
      <c r="H31" s="28"/>
    </row>
    <row r="32" spans="2:9" s="20" customFormat="1" x14ac:dyDescent="0.25">
      <c r="B32" s="20" t="s">
        <v>6</v>
      </c>
      <c r="C32" s="28">
        <v>-1.048</v>
      </c>
      <c r="D32" s="14"/>
      <c r="E32" s="28">
        <v>-0.5</v>
      </c>
      <c r="F32" s="28">
        <f>+E32*1.02</f>
        <v>-0.51</v>
      </c>
      <c r="G32" s="28">
        <f t="shared" ref="G32:H32" si="15">+F32*1.02</f>
        <v>-0.5202</v>
      </c>
      <c r="H32" s="28">
        <f t="shared" si="15"/>
        <v>-0.53060399999999996</v>
      </c>
    </row>
    <row r="33" spans="2:14" s="20" customFormat="1" x14ac:dyDescent="0.25">
      <c r="B33" s="20" t="s">
        <v>7</v>
      </c>
      <c r="C33" s="28">
        <v>1.9430000000000001</v>
      </c>
      <c r="D33" s="14"/>
      <c r="E33" s="28">
        <v>1.7689999999999999</v>
      </c>
      <c r="F33" s="28">
        <f>+E33*1.02</f>
        <v>1.8043799999999999</v>
      </c>
      <c r="G33" s="28">
        <f t="shared" ref="G33:H36" si="16">+F33*1.02</f>
        <v>1.8404676</v>
      </c>
      <c r="H33" s="28">
        <f t="shared" si="16"/>
        <v>1.8772769520000001</v>
      </c>
    </row>
    <row r="34" spans="2:14" s="20" customFormat="1" x14ac:dyDescent="0.25">
      <c r="B34" s="20" t="s">
        <v>8</v>
      </c>
      <c r="C34" s="28">
        <v>0.192</v>
      </c>
      <c r="D34" s="14"/>
      <c r="E34" s="28">
        <v>0</v>
      </c>
      <c r="F34" s="28">
        <f>+E34*1.02</f>
        <v>0</v>
      </c>
      <c r="G34" s="28">
        <f t="shared" si="16"/>
        <v>0</v>
      </c>
      <c r="H34" s="28">
        <f t="shared" si="16"/>
        <v>0</v>
      </c>
    </row>
    <row r="35" spans="2:14" s="20" customFormat="1" x14ac:dyDescent="0.25">
      <c r="B35" s="20" t="s">
        <v>9</v>
      </c>
      <c r="C35" s="28">
        <v>1.244</v>
      </c>
      <c r="D35" s="14"/>
      <c r="E35" s="28">
        <f>0.753+0.079</f>
        <v>0.83199999999999996</v>
      </c>
      <c r="F35" s="28">
        <f>+E35*1.02</f>
        <v>0.84863999999999995</v>
      </c>
      <c r="G35" s="28">
        <f t="shared" si="16"/>
        <v>0.86561279999999996</v>
      </c>
      <c r="H35" s="28">
        <f t="shared" si="16"/>
        <v>0.88292505599999993</v>
      </c>
    </row>
    <row r="36" spans="2:14" s="20" customFormat="1" x14ac:dyDescent="0.25">
      <c r="B36" s="20" t="s">
        <v>10</v>
      </c>
      <c r="C36" s="28">
        <v>0.41299999999999998</v>
      </c>
      <c r="D36" s="14"/>
      <c r="E36" s="28">
        <v>0.13500000000000001</v>
      </c>
      <c r="F36" s="28">
        <f>+E36*1.02</f>
        <v>0.13770000000000002</v>
      </c>
      <c r="G36" s="28">
        <f t="shared" si="16"/>
        <v>0.14045400000000002</v>
      </c>
      <c r="H36" s="28">
        <f t="shared" si="16"/>
        <v>0.14326308000000001</v>
      </c>
    </row>
    <row r="37" spans="2:14" s="20" customFormat="1" x14ac:dyDescent="0.25">
      <c r="C37" s="28"/>
      <c r="D37" s="14"/>
      <c r="E37" s="28"/>
      <c r="F37" s="28"/>
      <c r="G37" s="28"/>
      <c r="H37" s="28"/>
      <c r="L37" s="133" t="s">
        <v>250</v>
      </c>
      <c r="M37" s="133" t="s">
        <v>248</v>
      </c>
      <c r="N37" s="133" t="s">
        <v>249</v>
      </c>
    </row>
    <row r="38" spans="2:14" s="20" customFormat="1" x14ac:dyDescent="0.25">
      <c r="B38" s="19" t="s">
        <v>11</v>
      </c>
      <c r="C38" s="46">
        <f>SUM(C32:C36)+C30</f>
        <v>248.88500000000002</v>
      </c>
      <c r="D38" s="17"/>
      <c r="E38" s="46">
        <f>SUM(E32:E36)+E30</f>
        <v>251.23800000000003</v>
      </c>
      <c r="F38" s="46">
        <f t="shared" ref="F38:H38" si="17">SUM(F32:F36)+F30</f>
        <v>256.71487581345394</v>
      </c>
      <c r="G38" s="46">
        <f t="shared" si="17"/>
        <v>262.48306073544609</v>
      </c>
      <c r="H38" s="46">
        <f t="shared" si="17"/>
        <v>268.4766039039925</v>
      </c>
      <c r="K38" s="20" t="s">
        <v>251</v>
      </c>
      <c r="L38" s="20">
        <v>-200</v>
      </c>
      <c r="M38" s="20">
        <v>200</v>
      </c>
    </row>
    <row r="39" spans="2:14" s="20" customFormat="1" x14ac:dyDescent="0.25">
      <c r="C39" s="28"/>
      <c r="D39" s="14"/>
      <c r="E39" s="28"/>
      <c r="K39" s="20" t="s">
        <v>252</v>
      </c>
      <c r="L39" s="20">
        <v>-4000</v>
      </c>
      <c r="M39" s="20">
        <v>4000</v>
      </c>
    </row>
    <row r="40" spans="2:14" s="20" customFormat="1" x14ac:dyDescent="0.25">
      <c r="B40" s="20" t="s">
        <v>225</v>
      </c>
      <c r="C40" s="28">
        <f>47.146+44.291</f>
        <v>91.436999999999998</v>
      </c>
      <c r="D40" s="14"/>
      <c r="E40" s="28">
        <v>90.784999999999997</v>
      </c>
      <c r="F40" s="28">
        <f>+E40*1.0293</f>
        <v>93.445000500000006</v>
      </c>
      <c r="G40" s="28">
        <f>+F40*1.0276</f>
        <v>96.02408251380001</v>
      </c>
      <c r="H40" s="28">
        <f>+G40*1.0232</f>
        <v>98.251841228120185</v>
      </c>
      <c r="K40" s="20" t="s">
        <v>253</v>
      </c>
      <c r="L40" s="20">
        <v>200</v>
      </c>
      <c r="M40" s="20">
        <v>-200</v>
      </c>
    </row>
    <row r="41" spans="2:14" s="20" customFormat="1" x14ac:dyDescent="0.25">
      <c r="B41" s="20" t="s">
        <v>226</v>
      </c>
      <c r="C41" s="28">
        <v>9.1270000000000007</v>
      </c>
      <c r="D41" s="14"/>
      <c r="E41" s="28">
        <v>8.5310000000000006</v>
      </c>
      <c r="F41" s="28">
        <f>+F12*E41/E12</f>
        <v>9.6456636792452848</v>
      </c>
      <c r="G41" s="28">
        <f>+G12*F41/F12</f>
        <v>10.801501505660381</v>
      </c>
      <c r="H41" s="28">
        <f>+H12*G41/G12</f>
        <v>11.999714579660383</v>
      </c>
      <c r="K41" s="20" t="s">
        <v>251</v>
      </c>
      <c r="L41" s="20">
        <v>-5000</v>
      </c>
      <c r="N41" s="20">
        <v>5000</v>
      </c>
    </row>
    <row r="42" spans="2:14" s="20" customFormat="1" x14ac:dyDescent="0.25">
      <c r="B42" s="20" t="s">
        <v>227</v>
      </c>
      <c r="C42" s="28"/>
      <c r="D42" s="14"/>
      <c r="E42" s="28">
        <v>3.2210000000000001</v>
      </c>
      <c r="F42" s="28">
        <f>+F14*0.655*1.02</f>
        <v>3.681922782649254</v>
      </c>
      <c r="G42" s="28">
        <f>+G14*0.655*1.02^2</f>
        <v>4.1617367466044781</v>
      </c>
      <c r="H42" s="28">
        <f>+H14*0.655*1.02^3</f>
        <v>4.6592705000048511</v>
      </c>
      <c r="K42" s="20" t="s">
        <v>253</v>
      </c>
      <c r="L42" s="20">
        <v>3700</v>
      </c>
      <c r="N42" s="20">
        <v>-3700</v>
      </c>
    </row>
    <row r="43" spans="2:14" s="20" customFormat="1" x14ac:dyDescent="0.25">
      <c r="B43" s="20" t="s">
        <v>228</v>
      </c>
      <c r="C43" s="28">
        <v>46.566000000000003</v>
      </c>
      <c r="D43" s="14"/>
      <c r="E43" s="28">
        <v>43.465000000000003</v>
      </c>
      <c r="F43" s="28">
        <f>+F17-0.45</f>
        <v>44.157999999999994</v>
      </c>
      <c r="G43" s="28">
        <f>+G17-1</f>
        <v>43.607999999999997</v>
      </c>
      <c r="H43" s="28">
        <f>+H17-1</f>
        <v>43.607999999999997</v>
      </c>
      <c r="K43" s="20" t="s">
        <v>254</v>
      </c>
      <c r="M43" s="20">
        <v>-44500</v>
      </c>
      <c r="N43" s="20">
        <v>44500</v>
      </c>
    </row>
    <row r="44" spans="2:14" s="20" customFormat="1" x14ac:dyDescent="0.25">
      <c r="B44" s="20" t="s">
        <v>229</v>
      </c>
      <c r="C44" s="28">
        <v>31.161000000000001</v>
      </c>
      <c r="D44" s="14"/>
      <c r="E44" s="28">
        <v>38.183999999999997</v>
      </c>
      <c r="F44" s="28">
        <f>+F18-17.425</f>
        <v>38.765000000000001</v>
      </c>
      <c r="G44" s="28">
        <f>+G18-13.618</f>
        <v>43.592000000000006</v>
      </c>
      <c r="H44" s="28">
        <f>+H18-14.116</f>
        <v>44.114000000000011</v>
      </c>
      <c r="K44" s="20" t="s">
        <v>255</v>
      </c>
      <c r="M44" s="20">
        <v>15000</v>
      </c>
      <c r="N44" s="20">
        <v>-15000</v>
      </c>
    </row>
    <row r="45" spans="2:14" s="27" customFormat="1" x14ac:dyDescent="0.25">
      <c r="B45" s="27" t="s">
        <v>230</v>
      </c>
      <c r="C45" s="122">
        <f>SUM(C40:C44)</f>
        <v>178.291</v>
      </c>
      <c r="D45" s="16"/>
      <c r="E45" s="122">
        <f>SUM(E40:E44)</f>
        <v>184.18600000000001</v>
      </c>
      <c r="F45" s="122">
        <f>SUM(F40:F44)</f>
        <v>189.69558696189455</v>
      </c>
      <c r="G45" s="122">
        <f>SUM(G40:G44)</f>
        <v>198.18732076606489</v>
      </c>
      <c r="H45" s="122">
        <f>SUM(H40:H44)</f>
        <v>202.63282630778542</v>
      </c>
      <c r="K45" s="27" t="s">
        <v>256</v>
      </c>
      <c r="L45" s="27">
        <f>SUM(L38:L44)</f>
        <v>-5300</v>
      </c>
      <c r="M45" s="27">
        <f>SUM(M38:M44)</f>
        <v>-25500</v>
      </c>
      <c r="N45" s="27">
        <f>SUM(N38:N44)</f>
        <v>30800</v>
      </c>
    </row>
    <row r="46" spans="2:14" s="20" customFormat="1" ht="4.5" customHeight="1" x14ac:dyDescent="0.25">
      <c r="C46" s="28"/>
      <c r="D46" s="14"/>
      <c r="E46" s="28"/>
      <c r="F46" s="28"/>
      <c r="G46" s="28"/>
      <c r="H46" s="28"/>
    </row>
    <row r="47" spans="2:14" s="20" customFormat="1" x14ac:dyDescent="0.25">
      <c r="B47" s="20" t="s">
        <v>231</v>
      </c>
      <c r="C47" s="28">
        <f>0.09+0.254+2.392+1.804+1.432+0.356+0.524+0.969+0.074+0.082</f>
        <v>7.9769999999999994</v>
      </c>
      <c r="D47" s="14"/>
      <c r="E47" s="28">
        <v>6.4580000000000002</v>
      </c>
      <c r="F47" s="28">
        <f>+E47*1.01</f>
        <v>6.5225800000000005</v>
      </c>
      <c r="G47" s="28">
        <f t="shared" ref="G47:H47" si="18">+F47*1.01</f>
        <v>6.5878058000000008</v>
      </c>
      <c r="H47" s="28">
        <f t="shared" si="18"/>
        <v>6.6536838580000008</v>
      </c>
    </row>
    <row r="48" spans="2:14" s="20" customFormat="1" x14ac:dyDescent="0.25">
      <c r="B48" s="20" t="s">
        <v>232</v>
      </c>
      <c r="C48" s="28">
        <f>-0.283+0.306</f>
        <v>2.300000000000002E-2</v>
      </c>
      <c r="D48" s="14"/>
      <c r="E48" s="28">
        <v>0</v>
      </c>
      <c r="F48" s="28">
        <f t="shared" ref="F48:H50" si="19">+E48*1.01</f>
        <v>0</v>
      </c>
      <c r="G48" s="28">
        <f t="shared" si="19"/>
        <v>0</v>
      </c>
      <c r="H48" s="28">
        <f t="shared" si="19"/>
        <v>0</v>
      </c>
    </row>
    <row r="49" spans="2:8" s="20" customFormat="1" x14ac:dyDescent="0.25">
      <c r="B49" s="20" t="s">
        <v>233</v>
      </c>
      <c r="C49" s="28">
        <f>0.315+2.931+1.657+3.632+0.037</f>
        <v>8.572000000000001</v>
      </c>
      <c r="D49" s="14"/>
      <c r="E49" s="28">
        <v>9.9749999999999996</v>
      </c>
      <c r="F49" s="28">
        <f t="shared" si="19"/>
        <v>10.07475</v>
      </c>
      <c r="G49" s="28">
        <f t="shared" si="19"/>
        <v>10.175497500000001</v>
      </c>
      <c r="H49" s="28">
        <f t="shared" si="19"/>
        <v>10.277252475000001</v>
      </c>
    </row>
    <row r="50" spans="2:8" s="20" customFormat="1" x14ac:dyDescent="0.25">
      <c r="B50" s="20" t="s">
        <v>234</v>
      </c>
      <c r="C50" s="28">
        <f>0.119+0.304+0.135+0.228</f>
        <v>0.78600000000000003</v>
      </c>
      <c r="D50" s="14"/>
      <c r="E50" s="28">
        <v>0.67500000000000004</v>
      </c>
      <c r="F50" s="28">
        <f t="shared" si="19"/>
        <v>0.68175000000000008</v>
      </c>
      <c r="G50" s="28">
        <f t="shared" si="19"/>
        <v>0.68856750000000011</v>
      </c>
      <c r="H50" s="28">
        <f t="shared" si="19"/>
        <v>0.69545317500000015</v>
      </c>
    </row>
    <row r="51" spans="2:8" s="20" customFormat="1" x14ac:dyDescent="0.25">
      <c r="B51" s="27" t="s">
        <v>235</v>
      </c>
      <c r="C51" s="122">
        <f>SUM(C47:C50)</f>
        <v>17.358000000000001</v>
      </c>
      <c r="D51" s="16"/>
      <c r="E51" s="122">
        <f>SUM(E47:E50)</f>
        <v>17.108000000000001</v>
      </c>
      <c r="F51" s="122">
        <f>SUM(F47:F50)</f>
        <v>17.27908</v>
      </c>
      <c r="G51" s="122">
        <f t="shared" ref="G51:H51" si="20">SUM(G47:G50)</f>
        <v>17.451870800000002</v>
      </c>
      <c r="H51" s="122">
        <f t="shared" si="20"/>
        <v>17.626389508000003</v>
      </c>
    </row>
    <row r="52" spans="2:8" s="20" customFormat="1" x14ac:dyDescent="0.25">
      <c r="C52" s="28"/>
      <c r="D52" s="14"/>
      <c r="E52" s="28"/>
      <c r="F52" s="28"/>
      <c r="G52" s="28"/>
      <c r="H52" s="28"/>
    </row>
    <row r="53" spans="2:8" s="20" customFormat="1" x14ac:dyDescent="0.25">
      <c r="B53" s="20" t="s">
        <v>16</v>
      </c>
      <c r="C53" s="28">
        <f>0.672+0.01+0.083+0.451+0.004+0.74+0.276+0.733+1.775+0.044+0.491+0.585+0.577+0.012+0.262+1.123+0.135+0.072</f>
        <v>8.0449999999999982</v>
      </c>
      <c r="D53" s="14"/>
      <c r="E53" s="28">
        <f>4.568+3.002</f>
        <v>7.5699999999999994</v>
      </c>
      <c r="F53" s="28">
        <f>+E53*1.01</f>
        <v>7.6456999999999997</v>
      </c>
      <c r="G53" s="28">
        <f>+F53*1.01</f>
        <v>7.7221570000000002</v>
      </c>
      <c r="H53" s="28">
        <f>+G53*1.01</f>
        <v>7.79937857</v>
      </c>
    </row>
    <row r="54" spans="2:8" s="20" customFormat="1" x14ac:dyDescent="0.25">
      <c r="B54" s="20" t="s">
        <v>17</v>
      </c>
      <c r="C54" s="28">
        <f>0.598+0.009+1.352</f>
        <v>1.9590000000000001</v>
      </c>
      <c r="D54" s="14"/>
      <c r="E54" s="28">
        <v>1.8740000000000001</v>
      </c>
      <c r="F54" s="28">
        <f t="shared" ref="F54:G55" si="21">+E54*1.01</f>
        <v>1.8927400000000001</v>
      </c>
      <c r="G54" s="28">
        <f t="shared" si="21"/>
        <v>1.9116674</v>
      </c>
      <c r="H54" s="28">
        <f t="shared" ref="H54" si="22">+G54*1.01</f>
        <v>1.930784074</v>
      </c>
    </row>
    <row r="55" spans="2:8" s="20" customFormat="1" x14ac:dyDescent="0.25">
      <c r="B55" s="20" t="s">
        <v>18</v>
      </c>
      <c r="C55" s="28">
        <f>11.923+0.596</f>
        <v>12.519</v>
      </c>
      <c r="D55" s="14"/>
      <c r="E55" s="28">
        <v>12.111000000000001</v>
      </c>
      <c r="F55" s="28">
        <f t="shared" si="21"/>
        <v>12.23211</v>
      </c>
      <c r="G55" s="28">
        <f t="shared" si="21"/>
        <v>12.354431100000001</v>
      </c>
      <c r="H55" s="28">
        <f t="shared" ref="H55" si="23">+G55*1.01</f>
        <v>12.477975411000001</v>
      </c>
    </row>
    <row r="56" spans="2:8" s="20" customFormat="1" x14ac:dyDescent="0.25">
      <c r="B56" s="20" t="s">
        <v>19</v>
      </c>
      <c r="C56" s="28">
        <f>5.529+0.103+0.776+1.128</f>
        <v>7.5359999999999996</v>
      </c>
      <c r="D56" s="14"/>
      <c r="E56" s="28">
        <f>19.433-E55</f>
        <v>7.3219999999999992</v>
      </c>
      <c r="F56" s="28">
        <f t="shared" ref="F56:H57" si="24">+E56*1.02</f>
        <v>7.4684399999999993</v>
      </c>
      <c r="G56" s="28">
        <f t="shared" si="24"/>
        <v>7.6178087999999997</v>
      </c>
      <c r="H56" s="28">
        <f t="shared" si="24"/>
        <v>7.7701649760000002</v>
      </c>
    </row>
    <row r="57" spans="2:8" s="20" customFormat="1" x14ac:dyDescent="0.25">
      <c r="B57" s="20" t="s">
        <v>24</v>
      </c>
      <c r="C57" s="28">
        <f>0.288+0.042+0.362+0.5+0.016-0.009</f>
        <v>1.1990000000000001</v>
      </c>
      <c r="D57" s="14"/>
      <c r="E57" s="28">
        <v>1.6930000000000001</v>
      </c>
      <c r="F57" s="28">
        <f t="shared" si="24"/>
        <v>1.7268600000000001</v>
      </c>
      <c r="G57" s="28">
        <f t="shared" si="24"/>
        <v>1.7613972</v>
      </c>
      <c r="H57" s="28">
        <f t="shared" si="24"/>
        <v>1.7966251440000001</v>
      </c>
    </row>
    <row r="58" spans="2:8" s="32" customFormat="1" x14ac:dyDescent="0.25">
      <c r="B58" s="32" t="s">
        <v>362</v>
      </c>
      <c r="C58" s="124"/>
      <c r="D58" s="24"/>
      <c r="E58" s="124"/>
      <c r="F58" s="124">
        <v>0.77</v>
      </c>
      <c r="G58" s="124">
        <v>1.1299999999999999</v>
      </c>
      <c r="H58" s="124">
        <v>0.70599999999999996</v>
      </c>
    </row>
    <row r="59" spans="2:8" s="20" customFormat="1" x14ac:dyDescent="0.25">
      <c r="C59" s="28"/>
      <c r="D59" s="14"/>
      <c r="E59" s="28"/>
      <c r="F59" s="28"/>
      <c r="G59" s="28"/>
      <c r="H59" s="28"/>
    </row>
    <row r="60" spans="2:8" s="20" customFormat="1" x14ac:dyDescent="0.25">
      <c r="B60" s="134" t="s">
        <v>25</v>
      </c>
      <c r="C60" s="136">
        <f>C38-(C45+C51+C53+C54+C55+C56+C57)-C35</f>
        <v>20.734000000000009</v>
      </c>
      <c r="D60" s="135"/>
      <c r="E60" s="136">
        <f>E38-(E45+E51+E53+E54+E55+E56+E57)-E35</f>
        <v>18.542000000000023</v>
      </c>
      <c r="F60" s="136">
        <f>F38-(F45+F51+F53+F54+F55+F56+F57)-F35+F58</f>
        <v>18.695718851559413</v>
      </c>
      <c r="G60" s="136">
        <f>G38-(G45+G51+G53+G54+G55+G56+G57)-G35+G58</f>
        <v>15.74079486938119</v>
      </c>
      <c r="H60" s="136">
        <f>H38-(H45+H51+H53+H54+H55+H56+H57)-H35+H58</f>
        <v>16.265534857207133</v>
      </c>
    </row>
    <row r="61" spans="2:8" s="20" customFormat="1" x14ac:dyDescent="0.25">
      <c r="B61" s="137" t="s">
        <v>257</v>
      </c>
      <c r="C61" s="139">
        <f>+C60-C110</f>
        <v>5.7220000000000084</v>
      </c>
      <c r="D61" s="138"/>
      <c r="E61" s="139">
        <f>+E60-E110</f>
        <v>1.5560000000000187</v>
      </c>
      <c r="F61" s="139">
        <f t="shared" ref="F61:H61" si="25">+F60-F110</f>
        <v>1.2707188515594083</v>
      </c>
      <c r="G61" s="139">
        <f t="shared" si="25"/>
        <v>2.1227948693811882</v>
      </c>
      <c r="H61" s="139">
        <f t="shared" si="25"/>
        <v>2.1495348572071329</v>
      </c>
    </row>
    <row r="62" spans="2:8" s="20" customFormat="1" x14ac:dyDescent="0.25">
      <c r="B62" s="392" t="s">
        <v>91</v>
      </c>
      <c r="D62" s="394"/>
      <c r="E62" s="393">
        <f>20.099+0.135-1.692-E60</f>
        <v>0</v>
      </c>
      <c r="F62" s="393">
        <f>-(19.901+0.082-1.287-F60)</f>
        <v>-2.8114844058890753E-4</v>
      </c>
      <c r="G62" s="393">
        <f>+G60-(16.976+0.083-1.318)</f>
        <v>-2.0513061880755856E-4</v>
      </c>
      <c r="H62" s="393">
        <f>+H60-(17.529+0.085-1.348)</f>
        <v>-4.651427928692442E-4</v>
      </c>
    </row>
    <row r="63" spans="2:8" s="20" customFormat="1" x14ac:dyDescent="0.25">
      <c r="C63" s="28"/>
      <c r="D63" s="14"/>
      <c r="E63" s="28"/>
      <c r="F63" s="28"/>
      <c r="G63" s="28"/>
      <c r="H63" s="28"/>
    </row>
    <row r="64" spans="2:8" s="20" customFormat="1" x14ac:dyDescent="0.25">
      <c r="B64" s="20" t="s">
        <v>20</v>
      </c>
      <c r="C64" s="28">
        <v>7.7640000000000002</v>
      </c>
      <c r="D64" s="14"/>
      <c r="E64" s="28">
        <v>7.81</v>
      </c>
    </row>
    <row r="65" spans="2:7" s="20" customFormat="1" x14ac:dyDescent="0.25">
      <c r="B65" s="20" t="s">
        <v>237</v>
      </c>
      <c r="C65" s="28">
        <v>1.1839999999999999</v>
      </c>
      <c r="D65" s="14"/>
      <c r="E65" s="28">
        <v>1.42</v>
      </c>
      <c r="G65" s="28"/>
    </row>
    <row r="66" spans="2:7" s="20" customFormat="1" x14ac:dyDescent="0.25">
      <c r="B66" s="20" t="s">
        <v>22</v>
      </c>
      <c r="C66" s="28">
        <v>0</v>
      </c>
      <c r="D66" s="14"/>
      <c r="E66" s="28">
        <v>0</v>
      </c>
      <c r="G66" s="28"/>
    </row>
    <row r="67" spans="2:7" s="20" customFormat="1" x14ac:dyDescent="0.25">
      <c r="B67" s="20" t="s">
        <v>236</v>
      </c>
      <c r="C67" s="28">
        <v>0</v>
      </c>
      <c r="D67" s="14"/>
      <c r="E67" s="28">
        <v>0.2</v>
      </c>
      <c r="G67" s="28"/>
    </row>
    <row r="68" spans="2:7" s="20" customFormat="1" x14ac:dyDescent="0.25">
      <c r="C68" s="28"/>
      <c r="D68" s="14"/>
      <c r="E68" s="28"/>
    </row>
    <row r="69" spans="2:7" s="20" customFormat="1" x14ac:dyDescent="0.25">
      <c r="B69" s="19" t="s">
        <v>26</v>
      </c>
      <c r="C69" s="46">
        <f>+C60-SUM(C64:C67)+C35</f>
        <v>13.030000000000008</v>
      </c>
      <c r="D69" s="17"/>
      <c r="E69" s="46">
        <f>+E60-SUM(E64:E67)+E35</f>
        <v>9.9440000000000239</v>
      </c>
      <c r="F69" s="28"/>
    </row>
    <row r="70" spans="2:7" s="20" customFormat="1" x14ac:dyDescent="0.25">
      <c r="C70" s="28"/>
      <c r="D70" s="14"/>
      <c r="E70" s="28"/>
    </row>
    <row r="71" spans="2:7" s="20" customFormat="1" x14ac:dyDescent="0.25">
      <c r="B71" s="20" t="s">
        <v>27</v>
      </c>
      <c r="C71" s="28">
        <v>1.7090000000000001</v>
      </c>
      <c r="D71" s="14"/>
      <c r="E71" s="28">
        <v>0.34100000000000003</v>
      </c>
    </row>
    <row r="72" spans="2:7" s="20" customFormat="1" ht="3.75" customHeight="1" x14ac:dyDescent="0.25">
      <c r="C72" s="28"/>
      <c r="D72" s="14"/>
      <c r="E72" s="28"/>
    </row>
    <row r="73" spans="2:7" s="20" customFormat="1" x14ac:dyDescent="0.25">
      <c r="B73" s="20" t="s">
        <v>28</v>
      </c>
      <c r="C73" s="28">
        <v>6.3330000000000002</v>
      </c>
      <c r="D73" s="14"/>
      <c r="E73" s="28">
        <v>0</v>
      </c>
    </row>
    <row r="74" spans="2:7" s="20" customFormat="1" x14ac:dyDescent="0.25">
      <c r="B74" s="20" t="s">
        <v>29</v>
      </c>
      <c r="C74" s="28"/>
      <c r="D74" s="14"/>
      <c r="E74" s="28">
        <v>5.7409999999999997</v>
      </c>
    </row>
    <row r="75" spans="2:7" s="20" customFormat="1" x14ac:dyDescent="0.25">
      <c r="B75" s="20" t="s">
        <v>30</v>
      </c>
      <c r="C75" s="28"/>
      <c r="D75" s="14"/>
      <c r="E75" s="28">
        <v>5.5E-2</v>
      </c>
    </row>
    <row r="76" spans="2:7" s="20" customFormat="1" x14ac:dyDescent="0.25">
      <c r="B76" s="20" t="s">
        <v>31</v>
      </c>
      <c r="C76" s="28">
        <f>SUM(C73:C75)</f>
        <v>6.3330000000000002</v>
      </c>
      <c r="D76" s="14"/>
      <c r="E76" s="28">
        <f>+E75+E74+E73</f>
        <v>5.7959999999999994</v>
      </c>
    </row>
    <row r="77" spans="2:7" s="20" customFormat="1" ht="3.75" customHeight="1" x14ac:dyDescent="0.25">
      <c r="C77" s="28"/>
      <c r="D77" s="14"/>
      <c r="E77" s="28"/>
    </row>
    <row r="78" spans="2:7" s="20" customFormat="1" x14ac:dyDescent="0.25">
      <c r="B78" s="19" t="s">
        <v>32</v>
      </c>
      <c r="C78" s="46">
        <f t="shared" ref="C78" si="26">+C71-C76</f>
        <v>-4.6240000000000006</v>
      </c>
      <c r="D78" s="17"/>
      <c r="E78" s="46">
        <f>+E71-E76</f>
        <v>-5.4549999999999992</v>
      </c>
    </row>
    <row r="79" spans="2:7" s="20" customFormat="1" x14ac:dyDescent="0.25">
      <c r="C79" s="28"/>
      <c r="D79" s="14"/>
      <c r="E79" s="28"/>
    </row>
    <row r="80" spans="2:7" s="20" customFormat="1" x14ac:dyDescent="0.25">
      <c r="B80" s="20" t="s">
        <v>38</v>
      </c>
      <c r="C80" s="28">
        <v>1.6910000000000001</v>
      </c>
      <c r="D80" s="14"/>
      <c r="E80" s="28">
        <v>1.1599999999999999</v>
      </c>
    </row>
    <row r="81" spans="2:5" s="20" customFormat="1" x14ac:dyDescent="0.25">
      <c r="B81" s="20" t="s">
        <v>39</v>
      </c>
      <c r="C81" s="28">
        <v>0</v>
      </c>
      <c r="D81" s="14"/>
      <c r="E81" s="28">
        <v>49.835999999999999</v>
      </c>
    </row>
    <row r="82" spans="2:5" s="20" customFormat="1" x14ac:dyDescent="0.25">
      <c r="B82" s="20" t="s">
        <v>35</v>
      </c>
      <c r="C82" s="28">
        <v>0</v>
      </c>
      <c r="D82" s="14"/>
      <c r="E82" s="28">
        <v>0</v>
      </c>
    </row>
    <row r="83" spans="2:5" s="20" customFormat="1" x14ac:dyDescent="0.25">
      <c r="B83" s="20" t="s">
        <v>33</v>
      </c>
      <c r="C83" s="28">
        <f t="shared" ref="C83" si="27">SUM(C80:C82)</f>
        <v>1.6910000000000001</v>
      </c>
      <c r="D83" s="14"/>
      <c r="E83" s="28">
        <f>SUM(E80:E82)</f>
        <v>50.995999999999995</v>
      </c>
    </row>
    <row r="84" spans="2:5" s="20" customFormat="1" ht="3.75" customHeight="1" x14ac:dyDescent="0.25">
      <c r="C84" s="28"/>
      <c r="D84" s="14"/>
      <c r="E84" s="28"/>
    </row>
    <row r="85" spans="2:5" s="20" customFormat="1" x14ac:dyDescent="0.25">
      <c r="B85" s="20" t="s">
        <v>36</v>
      </c>
      <c r="C85" s="28">
        <v>0.71399999999999997</v>
      </c>
      <c r="D85" s="14"/>
      <c r="E85" s="28">
        <f>0.155+0.108</f>
        <v>0.26300000000000001</v>
      </c>
    </row>
    <row r="86" spans="2:5" s="20" customFormat="1" x14ac:dyDescent="0.25">
      <c r="B86" s="20" t="s">
        <v>37</v>
      </c>
      <c r="C86" s="28">
        <v>0</v>
      </c>
      <c r="D86" s="14"/>
      <c r="E86" s="28">
        <v>18.128</v>
      </c>
    </row>
    <row r="87" spans="2:5" s="20" customFormat="1" x14ac:dyDescent="0.25">
      <c r="B87" s="20" t="s">
        <v>34</v>
      </c>
      <c r="C87" s="28">
        <v>0</v>
      </c>
      <c r="D87" s="14"/>
      <c r="E87" s="28">
        <v>0</v>
      </c>
    </row>
    <row r="88" spans="2:5" s="20" customFormat="1" x14ac:dyDescent="0.25">
      <c r="B88" s="20" t="s">
        <v>40</v>
      </c>
      <c r="C88" s="28">
        <f t="shared" ref="C88" si="28">SUM(C85:C87)</f>
        <v>0.71399999999999997</v>
      </c>
      <c r="D88" s="14"/>
      <c r="E88" s="28">
        <f>SUM(E85:E87)</f>
        <v>18.391000000000002</v>
      </c>
    </row>
    <row r="89" spans="2:5" s="20" customFormat="1" ht="3.75" customHeight="1" x14ac:dyDescent="0.25">
      <c r="C89" s="28"/>
      <c r="D89" s="14"/>
      <c r="E89" s="28"/>
    </row>
    <row r="90" spans="2:5" s="20" customFormat="1" x14ac:dyDescent="0.25">
      <c r="B90" s="19" t="s">
        <v>41</v>
      </c>
      <c r="C90" s="46">
        <f t="shared" ref="C90" si="29">+C83-C88</f>
        <v>0.97700000000000009</v>
      </c>
      <c r="D90" s="17"/>
      <c r="E90" s="46">
        <f>+E83-E88</f>
        <v>32.60499999999999</v>
      </c>
    </row>
    <row r="91" spans="2:5" s="20" customFormat="1" x14ac:dyDescent="0.25">
      <c r="C91" s="28"/>
      <c r="D91" s="14"/>
      <c r="E91" s="28"/>
    </row>
    <row r="92" spans="2:5" s="20" customFormat="1" x14ac:dyDescent="0.25">
      <c r="B92" s="19" t="s">
        <v>42</v>
      </c>
      <c r="C92" s="46">
        <f>+C69+C78+C90</f>
        <v>9.383000000000008</v>
      </c>
      <c r="D92" s="17"/>
      <c r="E92" s="46">
        <f>+E69+E78+E90</f>
        <v>37.094000000000015</v>
      </c>
    </row>
    <row r="93" spans="2:5" s="20" customFormat="1" x14ac:dyDescent="0.25">
      <c r="C93" s="28"/>
      <c r="D93" s="14"/>
      <c r="E93" s="28"/>
    </row>
    <row r="94" spans="2:5" s="20" customFormat="1" x14ac:dyDescent="0.25">
      <c r="B94" s="20" t="s">
        <v>131</v>
      </c>
      <c r="C94" s="28">
        <v>0</v>
      </c>
      <c r="D94" s="14"/>
      <c r="E94" s="28">
        <v>0</v>
      </c>
    </row>
    <row r="95" spans="2:5" s="20" customFormat="1" x14ac:dyDescent="0.25">
      <c r="B95" s="20" t="s">
        <v>132</v>
      </c>
      <c r="C95" s="28">
        <v>0</v>
      </c>
      <c r="D95" s="14"/>
      <c r="E95" s="28">
        <v>0</v>
      </c>
    </row>
    <row r="96" spans="2:5" s="20" customFormat="1" x14ac:dyDescent="0.25">
      <c r="B96" s="20" t="s">
        <v>46</v>
      </c>
      <c r="C96" s="28">
        <v>0.70799999999999996</v>
      </c>
      <c r="D96" s="14"/>
      <c r="E96" s="28">
        <v>0.47499999999999998</v>
      </c>
    </row>
    <row r="97" spans="2:9" s="20" customFormat="1" x14ac:dyDescent="0.25">
      <c r="B97" s="20" t="s">
        <v>43</v>
      </c>
      <c r="C97" s="28">
        <v>2.431</v>
      </c>
      <c r="D97" s="14"/>
      <c r="E97" s="28">
        <v>2.69</v>
      </c>
    </row>
    <row r="98" spans="2:9" s="20" customFormat="1" x14ac:dyDescent="0.25">
      <c r="B98" s="20" t="s">
        <v>133</v>
      </c>
      <c r="C98" s="28">
        <v>0</v>
      </c>
      <c r="D98" s="14"/>
      <c r="E98" s="28">
        <v>0</v>
      </c>
    </row>
    <row r="99" spans="2:9" s="20" customFormat="1" x14ac:dyDescent="0.25">
      <c r="C99" s="28"/>
      <c r="D99" s="14"/>
      <c r="E99" s="28"/>
      <c r="I99" s="14"/>
    </row>
    <row r="100" spans="2:9" s="20" customFormat="1" x14ac:dyDescent="0.25">
      <c r="B100" s="19" t="s">
        <v>44</v>
      </c>
      <c r="C100" s="46">
        <f>+C92-C96-C97+C94-C95+C98</f>
        <v>6.2440000000000078</v>
      </c>
      <c r="D100" s="17"/>
      <c r="E100" s="46">
        <f>+E92-E96-E97+E94-E95+E98</f>
        <v>33.929000000000016</v>
      </c>
    </row>
    <row r="101" spans="2:9" s="20" customFormat="1" x14ac:dyDescent="0.25">
      <c r="C101" s="14"/>
      <c r="D101" s="14"/>
      <c r="E101" s="28"/>
    </row>
    <row r="102" spans="2:9" s="20" customFormat="1" x14ac:dyDescent="0.25">
      <c r="B102" s="20" t="s">
        <v>94</v>
      </c>
      <c r="C102" s="14"/>
      <c r="D102" s="14"/>
      <c r="E102" s="28"/>
    </row>
    <row r="103" spans="2:9" s="20" customFormat="1" x14ac:dyDescent="0.25">
      <c r="B103" s="20" t="s">
        <v>95</v>
      </c>
      <c r="C103" s="18"/>
      <c r="D103" s="18"/>
      <c r="E103" s="120">
        <f>+(E30/C30)-1</f>
        <v>1.1623419097184229E-2</v>
      </c>
    </row>
    <row r="104" spans="2:9" s="27" customFormat="1" x14ac:dyDescent="0.25">
      <c r="B104" s="7" t="s">
        <v>241</v>
      </c>
      <c r="C104" s="129">
        <f>+C9-C40</f>
        <v>13.063000000000002</v>
      </c>
      <c r="D104" s="128"/>
      <c r="E104" s="129">
        <f>+E9-E40</f>
        <v>10.825000000000003</v>
      </c>
      <c r="F104" s="129">
        <f t="shared" ref="F104:H104" si="30">+F9-F40</f>
        <v>10.197199499999996</v>
      </c>
      <c r="G104" s="129">
        <f t="shared" si="30"/>
        <v>9.6909614861999955</v>
      </c>
      <c r="H104" s="129">
        <f t="shared" si="30"/>
        <v>9.5775036518798231</v>
      </c>
      <c r="I104" s="129"/>
    </row>
    <row r="105" spans="2:9" s="20" customFormat="1" x14ac:dyDescent="0.25">
      <c r="B105" s="21"/>
      <c r="C105" s="130">
        <f>+C104/C9</f>
        <v>0.12500478468899523</v>
      </c>
      <c r="D105" s="18"/>
      <c r="E105" s="130">
        <f>+E104/E9</f>
        <v>0.10653478988288557</v>
      </c>
      <c r="F105" s="130">
        <f>+F104/F9</f>
        <v>9.8388489437700052E-2</v>
      </c>
      <c r="G105" s="130">
        <f>+G104/G9</f>
        <v>9.1670599751157419E-2</v>
      </c>
      <c r="H105" s="130">
        <f>+H104/H9</f>
        <v>8.8820938887631512E-2</v>
      </c>
    </row>
    <row r="106" spans="2:9" s="27" customFormat="1" x14ac:dyDescent="0.25">
      <c r="B106" s="7" t="s">
        <v>242</v>
      </c>
      <c r="C106" s="129">
        <f>+C12+C16-C41-C42</f>
        <v>2.6839999999999993</v>
      </c>
      <c r="D106" s="128"/>
      <c r="E106" s="129">
        <f>+E12+E16-E41-E42</f>
        <v>3.2289999999999992</v>
      </c>
      <c r="F106" s="129">
        <f>+F12+F16-F41-F42</f>
        <v>3.4784693515594203</v>
      </c>
      <c r="G106" s="129">
        <f>+G12+G16-G41-G42</f>
        <v>3.9046660831812146</v>
      </c>
      <c r="H106" s="129">
        <f>+H12+H16-H41-H42</f>
        <v>4.3465192963272603</v>
      </c>
    </row>
    <row r="107" spans="2:9" s="20" customFormat="1" x14ac:dyDescent="0.25">
      <c r="B107" s="21"/>
      <c r="C107" s="130">
        <f>+C106/(C12+C16)</f>
        <v>0.22724578782490892</v>
      </c>
      <c r="D107" s="18"/>
      <c r="E107" s="130">
        <f>+E106/(E12+E16)</f>
        <v>0.21553968359922562</v>
      </c>
      <c r="F107" s="130">
        <f>+F106/(F12+F16)</f>
        <v>0.20697713908427928</v>
      </c>
      <c r="G107" s="130">
        <f>+G106/(G12+G16)</f>
        <v>0.20694752388826443</v>
      </c>
      <c r="H107" s="130">
        <f>+H106/(H12+H16)</f>
        <v>0.20692287214464425</v>
      </c>
    </row>
    <row r="108" spans="2:9" s="27" customFormat="1" x14ac:dyDescent="0.25">
      <c r="B108" s="7" t="s">
        <v>239</v>
      </c>
      <c r="C108" s="129">
        <f>+C17-C43</f>
        <v>4.1490000000000009</v>
      </c>
      <c r="D108" s="128"/>
      <c r="E108" s="129">
        <f>+E17-E43</f>
        <v>1.1429999999999936</v>
      </c>
      <c r="F108" s="129">
        <f>+F17-F43</f>
        <v>0.45000000000000284</v>
      </c>
      <c r="G108" s="129">
        <f>+G17-G43</f>
        <v>1</v>
      </c>
      <c r="H108" s="129">
        <f>+H17-H43</f>
        <v>1</v>
      </c>
      <c r="I108" s="27" t="s">
        <v>361</v>
      </c>
    </row>
    <row r="109" spans="2:9" s="20" customFormat="1" x14ac:dyDescent="0.25">
      <c r="B109" s="21"/>
      <c r="C109" s="130">
        <f>+C108/C17</f>
        <v>8.181011535048803E-2</v>
      </c>
      <c r="D109" s="18"/>
      <c r="E109" s="130">
        <f>+E108/E17</f>
        <v>2.5623206599712914E-2</v>
      </c>
      <c r="F109" s="130">
        <f>+F108/F17</f>
        <v>1.0087876614060323E-2</v>
      </c>
      <c r="G109" s="130">
        <f>+G108/G17</f>
        <v>2.2417503586800575E-2</v>
      </c>
      <c r="H109" s="130">
        <f>+H108/H17</f>
        <v>2.2417503586800575E-2</v>
      </c>
    </row>
    <row r="110" spans="2:9" s="27" customFormat="1" x14ac:dyDescent="0.25">
      <c r="B110" s="7" t="s">
        <v>240</v>
      </c>
      <c r="C110" s="129">
        <f>+C18-C44</f>
        <v>15.012</v>
      </c>
      <c r="D110" s="128"/>
      <c r="E110" s="129">
        <f>+E18-E44</f>
        <v>16.986000000000004</v>
      </c>
      <c r="F110" s="129">
        <f>+F18-F44</f>
        <v>17.425000000000004</v>
      </c>
      <c r="G110" s="129">
        <f>+G18-G44</f>
        <v>13.618000000000002</v>
      </c>
      <c r="H110" s="129">
        <f>+H18-H44</f>
        <v>14.116</v>
      </c>
      <c r="I110" s="27" t="s">
        <v>361</v>
      </c>
    </row>
    <row r="111" spans="2:9" s="20" customFormat="1" x14ac:dyDescent="0.25">
      <c r="B111" s="21"/>
      <c r="C111" s="130">
        <f>+C110/C18</f>
        <v>0.32512507309466571</v>
      </c>
      <c r="D111" s="18"/>
      <c r="E111" s="130">
        <f>+E110/E18</f>
        <v>0.30788471995649819</v>
      </c>
      <c r="F111" s="130">
        <f>+F110/F18</f>
        <v>0.31010856024203598</v>
      </c>
      <c r="G111" s="130">
        <f>+G110/G18</f>
        <v>0.23803530851249782</v>
      </c>
      <c r="H111" s="130">
        <f>+H110/H18</f>
        <v>0.24241799759574098</v>
      </c>
    </row>
    <row r="112" spans="2:9" s="27" customFormat="1" x14ac:dyDescent="0.25">
      <c r="B112" s="7" t="s">
        <v>243</v>
      </c>
      <c r="C112" s="129">
        <f>+C104+C106+C108+C110</f>
        <v>34.908000000000001</v>
      </c>
      <c r="D112" s="128"/>
      <c r="E112" s="129">
        <f>+E104+E106+E108+E110</f>
        <v>32.183</v>
      </c>
      <c r="F112" s="129">
        <f t="shared" ref="F112:H112" si="31">+F104+F106+F108+F110</f>
        <v>31.550668851559422</v>
      </c>
      <c r="G112" s="129">
        <f t="shared" si="31"/>
        <v>28.213627569381213</v>
      </c>
      <c r="H112" s="129">
        <f t="shared" si="31"/>
        <v>29.040022948207081</v>
      </c>
    </row>
    <row r="113" spans="3:8" s="20" customFormat="1" x14ac:dyDescent="0.25">
      <c r="C113" s="130">
        <f>+C112/C19</f>
        <v>0.16373435147444407</v>
      </c>
      <c r="D113" s="14"/>
      <c r="E113" s="130">
        <f>+E112/E19</f>
        <v>0.14874127069959189</v>
      </c>
      <c r="F113" s="130">
        <f>+F112/F19</f>
        <v>0.14260430638953589</v>
      </c>
      <c r="G113" s="130">
        <f>+G112/G19</f>
        <v>0.1246179743363027</v>
      </c>
      <c r="H113" s="130">
        <f>+H112/H19</f>
        <v>0.12534927179195957</v>
      </c>
    </row>
    <row r="114" spans="3:8" s="20" customFormat="1" x14ac:dyDescent="0.25">
      <c r="C114" s="28"/>
      <c r="D114" s="14"/>
      <c r="E114" s="28"/>
      <c r="F114" s="28"/>
      <c r="G114" s="28"/>
      <c r="H114" s="28"/>
    </row>
    <row r="115" spans="3:8" s="20" customFormat="1" x14ac:dyDescent="0.25">
      <c r="C115" s="28">
        <f>+C104+C106</f>
        <v>15.747000000000002</v>
      </c>
      <c r="D115" s="14"/>
      <c r="E115" s="28">
        <f>+E104+E106</f>
        <v>14.054000000000002</v>
      </c>
      <c r="F115" s="28">
        <f t="shared" ref="F115:H115" si="32">+F104+F106</f>
        <v>13.675668851559417</v>
      </c>
      <c r="G115" s="28">
        <f t="shared" si="32"/>
        <v>13.595627569381211</v>
      </c>
      <c r="H115" s="28">
        <f t="shared" si="32"/>
        <v>13.924022948207083</v>
      </c>
    </row>
    <row r="116" spans="3:8" s="20" customFormat="1" x14ac:dyDescent="0.25">
      <c r="C116" s="14"/>
      <c r="D116" s="14"/>
      <c r="E116" s="28">
        <f>+E115-13.792</f>
        <v>0.26200000000000223</v>
      </c>
      <c r="F116" s="28">
        <f>+F115-13.676</f>
        <v>-3.3114844058346193E-4</v>
      </c>
      <c r="G116" s="28">
        <f>+G115-13.598</f>
        <v>-2.3724306187897781E-3</v>
      </c>
      <c r="H116" s="28">
        <f>+H115-13.925</f>
        <v>-9.7705179291729394E-4</v>
      </c>
    </row>
    <row r="117" spans="3:8" s="20" customFormat="1" x14ac:dyDescent="0.25">
      <c r="C117" s="14"/>
      <c r="D117" s="14"/>
      <c r="E117" s="28"/>
    </row>
    <row r="118" spans="3:8" s="20" customFormat="1" x14ac:dyDescent="0.25">
      <c r="C118" s="14"/>
      <c r="D118" s="14"/>
      <c r="E118" s="28"/>
    </row>
    <row r="119" spans="3:8" s="20" customFormat="1" x14ac:dyDescent="0.25">
      <c r="C119" s="14"/>
      <c r="D119" s="14"/>
      <c r="E119" s="28"/>
    </row>
    <row r="120" spans="3:8" s="20" customFormat="1" x14ac:dyDescent="0.25">
      <c r="C120" s="14"/>
      <c r="D120" s="14"/>
      <c r="E120" s="28"/>
    </row>
    <row r="121" spans="3:8" s="20" customFormat="1" x14ac:dyDescent="0.25">
      <c r="C121" s="14"/>
      <c r="D121" s="14"/>
      <c r="E121" s="28"/>
    </row>
    <row r="122" spans="3:8" s="20" customFormat="1" x14ac:dyDescent="0.25">
      <c r="C122" s="14"/>
      <c r="D122" s="14"/>
      <c r="E122" s="28"/>
    </row>
    <row r="123" spans="3:8" s="20" customFormat="1" x14ac:dyDescent="0.25">
      <c r="C123" s="14"/>
      <c r="D123" s="14"/>
      <c r="E123" s="28"/>
    </row>
    <row r="124" spans="3:8" s="20" customFormat="1" x14ac:dyDescent="0.25">
      <c r="C124" s="14"/>
      <c r="D124" s="14"/>
      <c r="E124" s="28"/>
    </row>
    <row r="125" spans="3:8" s="20" customFormat="1" x14ac:dyDescent="0.25">
      <c r="C125" s="14"/>
      <c r="D125" s="14"/>
      <c r="E125" s="28"/>
    </row>
    <row r="126" spans="3:8" s="20" customFormat="1" x14ac:dyDescent="0.25">
      <c r="C126" s="14"/>
      <c r="D126" s="14"/>
      <c r="E126" s="28"/>
    </row>
    <row r="127" spans="3:8" s="20" customFormat="1" x14ac:dyDescent="0.25">
      <c r="C127" s="14"/>
      <c r="D127" s="14"/>
      <c r="E127" s="28"/>
    </row>
    <row r="128" spans="3:8" s="20" customFormat="1" x14ac:dyDescent="0.25">
      <c r="C128" s="14"/>
      <c r="D128" s="14"/>
      <c r="E128" s="28"/>
    </row>
    <row r="129" spans="2:5" s="20" customFormat="1" x14ac:dyDescent="0.25">
      <c r="C129" s="14"/>
      <c r="D129" s="14"/>
      <c r="E129" s="28"/>
    </row>
    <row r="130" spans="2:5" s="20" customFormat="1" x14ac:dyDescent="0.25">
      <c r="C130" s="14"/>
      <c r="D130" s="14"/>
      <c r="E130" s="28"/>
    </row>
    <row r="131" spans="2:5" s="26" customFormat="1" x14ac:dyDescent="0.25">
      <c r="B131" s="25" t="s">
        <v>124</v>
      </c>
      <c r="C131" s="116">
        <f>+C5</f>
        <v>40543</v>
      </c>
      <c r="D131" s="34"/>
      <c r="E131" s="121">
        <f>+E5</f>
        <v>40908</v>
      </c>
    </row>
    <row r="132" spans="2:5" s="20" customFormat="1" x14ac:dyDescent="0.25">
      <c r="C132" s="117"/>
      <c r="D132" s="22"/>
      <c r="E132" s="120"/>
    </row>
    <row r="133" spans="2:5" s="20" customFormat="1" x14ac:dyDescent="0.25">
      <c r="B133" s="20" t="s">
        <v>47</v>
      </c>
      <c r="C133" s="117">
        <v>0</v>
      </c>
      <c r="D133" s="22"/>
      <c r="E133" s="120">
        <v>0</v>
      </c>
    </row>
    <row r="134" spans="2:5" s="20" customFormat="1" x14ac:dyDescent="0.25">
      <c r="B134" s="20" t="s">
        <v>48</v>
      </c>
      <c r="C134" s="117">
        <v>0</v>
      </c>
      <c r="D134" s="22"/>
      <c r="E134" s="120">
        <v>0</v>
      </c>
    </row>
    <row r="135" spans="2:5" s="20" customFormat="1" x14ac:dyDescent="0.25">
      <c r="B135" s="20" t="s">
        <v>49</v>
      </c>
      <c r="C135" s="13">
        <v>30.765999999999998</v>
      </c>
      <c r="D135" s="14"/>
      <c r="E135" s="28">
        <v>32.548999999999999</v>
      </c>
    </row>
    <row r="136" spans="2:5" s="20" customFormat="1" x14ac:dyDescent="0.25">
      <c r="B136" s="27" t="s">
        <v>50</v>
      </c>
      <c r="C136" s="114">
        <f t="shared" ref="C136:E136" si="33">SUM(C133:C135)</f>
        <v>30.765999999999998</v>
      </c>
      <c r="D136" s="16"/>
      <c r="E136" s="122">
        <f t="shared" si="33"/>
        <v>32.548999999999999</v>
      </c>
    </row>
    <row r="137" spans="2:5" s="20" customFormat="1" x14ac:dyDescent="0.25">
      <c r="C137" s="13"/>
      <c r="D137" s="14"/>
      <c r="E137" s="28"/>
    </row>
    <row r="138" spans="2:5" s="20" customFormat="1" x14ac:dyDescent="0.25">
      <c r="B138" s="20" t="s">
        <v>51</v>
      </c>
      <c r="C138" s="13">
        <v>0</v>
      </c>
      <c r="D138" s="14"/>
      <c r="E138" s="28">
        <v>0</v>
      </c>
    </row>
    <row r="139" spans="2:5" s="20" customFormat="1" x14ac:dyDescent="0.25">
      <c r="B139" s="20" t="s">
        <v>52</v>
      </c>
      <c r="C139" s="13">
        <v>0</v>
      </c>
      <c r="D139" s="14"/>
      <c r="E139" s="28">
        <v>0</v>
      </c>
    </row>
    <row r="140" spans="2:5" s="20" customFormat="1" x14ac:dyDescent="0.25">
      <c r="B140" s="20" t="s">
        <v>53</v>
      </c>
      <c r="C140" s="13">
        <v>15.394</v>
      </c>
      <c r="D140" s="14"/>
      <c r="E140" s="28">
        <v>14.426</v>
      </c>
    </row>
    <row r="141" spans="2:5" s="20" customFormat="1" x14ac:dyDescent="0.25">
      <c r="B141" s="20" t="s">
        <v>54</v>
      </c>
      <c r="C141" s="13">
        <v>0</v>
      </c>
      <c r="D141" s="14"/>
      <c r="E141" s="28">
        <v>0</v>
      </c>
    </row>
    <row r="142" spans="2:5" s="20" customFormat="1" x14ac:dyDescent="0.25">
      <c r="B142" s="20" t="s">
        <v>101</v>
      </c>
      <c r="C142" s="13">
        <v>9.0760000000000005</v>
      </c>
      <c r="D142" s="14"/>
      <c r="E142" s="28">
        <v>11.147</v>
      </c>
    </row>
    <row r="143" spans="2:5" s="20" customFormat="1" x14ac:dyDescent="0.25">
      <c r="B143" s="20" t="s">
        <v>115</v>
      </c>
      <c r="C143" s="13">
        <v>209.06700000000001</v>
      </c>
      <c r="D143" s="14"/>
      <c r="E143" s="28">
        <v>201.30799999999999</v>
      </c>
    </row>
    <row r="144" spans="2:5" s="20" customFormat="1" x14ac:dyDescent="0.25">
      <c r="B144" s="20" t="s">
        <v>116</v>
      </c>
      <c r="C144" s="13">
        <v>43.674999999999997</v>
      </c>
      <c r="D144" s="14"/>
      <c r="E144" s="28">
        <v>56.747</v>
      </c>
    </row>
    <row r="145" spans="2:7" s="20" customFormat="1" x14ac:dyDescent="0.25">
      <c r="B145" s="20" t="s">
        <v>117</v>
      </c>
      <c r="C145" s="13">
        <v>41.158000000000001</v>
      </c>
      <c r="D145" s="14"/>
      <c r="E145" s="28">
        <v>50.445999999999998</v>
      </c>
    </row>
    <row r="146" spans="2:7" s="20" customFormat="1" x14ac:dyDescent="0.25">
      <c r="B146" s="27" t="s">
        <v>55</v>
      </c>
      <c r="C146" s="114">
        <f>SUM(C138:C145)</f>
        <v>318.37</v>
      </c>
      <c r="D146" s="16"/>
      <c r="E146" s="122">
        <f>SUM(E138:E145)</f>
        <v>334.07399999999996</v>
      </c>
    </row>
    <row r="147" spans="2:7" s="20" customFormat="1" x14ac:dyDescent="0.25">
      <c r="C147" s="57"/>
      <c r="D147" s="14"/>
      <c r="E147" s="28"/>
    </row>
    <row r="148" spans="2:7" s="20" customFormat="1" x14ac:dyDescent="0.25">
      <c r="B148" s="20" t="s">
        <v>118</v>
      </c>
      <c r="C148" s="13">
        <v>17.617000000000001</v>
      </c>
      <c r="D148" s="14"/>
      <c r="E148" s="28">
        <v>18.396999999999998</v>
      </c>
    </row>
    <row r="149" spans="2:7" s="20" customFormat="1" x14ac:dyDescent="0.25">
      <c r="B149" s="20" t="s">
        <v>119</v>
      </c>
      <c r="C149" s="13">
        <v>0</v>
      </c>
      <c r="D149" s="14"/>
      <c r="E149" s="28">
        <v>0</v>
      </c>
    </row>
    <row r="150" spans="2:7" s="20" customFormat="1" x14ac:dyDescent="0.25">
      <c r="B150" s="20" t="s">
        <v>56</v>
      </c>
      <c r="C150" s="13">
        <v>0</v>
      </c>
      <c r="D150" s="14"/>
      <c r="E150" s="28">
        <v>0</v>
      </c>
    </row>
    <row r="151" spans="2:7" s="20" customFormat="1" x14ac:dyDescent="0.25">
      <c r="B151" s="27" t="s">
        <v>57</v>
      </c>
      <c r="C151" s="114">
        <f>SUM(C148:C150)</f>
        <v>17.617000000000001</v>
      </c>
      <c r="D151" s="16"/>
      <c r="E151" s="122">
        <f t="shared" ref="E151" si="34">SUM(E148:E150)</f>
        <v>18.396999999999998</v>
      </c>
    </row>
    <row r="152" spans="2:7" s="20" customFormat="1" ht="3.75" customHeight="1" x14ac:dyDescent="0.25">
      <c r="C152" s="13"/>
      <c r="D152" s="14"/>
      <c r="E152" s="28"/>
    </row>
    <row r="153" spans="2:7" s="20" customFormat="1" x14ac:dyDescent="0.25">
      <c r="B153" s="19" t="s">
        <v>58</v>
      </c>
      <c r="C153" s="115">
        <f>+C136+C146+C151</f>
        <v>366.75300000000004</v>
      </c>
      <c r="D153" s="17"/>
      <c r="E153" s="46">
        <f>+E136+E146+E151</f>
        <v>385.01999999999992</v>
      </c>
    </row>
    <row r="154" spans="2:7" s="20" customFormat="1" x14ac:dyDescent="0.25">
      <c r="C154" s="13"/>
      <c r="D154" s="14"/>
      <c r="E154" s="28"/>
    </row>
    <row r="155" spans="2:7" s="20" customFormat="1" x14ac:dyDescent="0.25">
      <c r="B155" s="21" t="s">
        <v>102</v>
      </c>
      <c r="C155" s="13">
        <v>0</v>
      </c>
      <c r="D155" s="14"/>
      <c r="E155" s="28">
        <v>0</v>
      </c>
    </row>
    <row r="156" spans="2:7" s="20" customFormat="1" x14ac:dyDescent="0.25">
      <c r="B156" s="8" t="s">
        <v>59</v>
      </c>
      <c r="C156" s="13">
        <v>4.5759999999999996</v>
      </c>
      <c r="D156" s="14"/>
      <c r="E156" s="28">
        <v>5.2649999999999997</v>
      </c>
    </row>
    <row r="157" spans="2:7" s="20" customFormat="1" x14ac:dyDescent="0.25">
      <c r="B157" s="8" t="s">
        <v>60</v>
      </c>
      <c r="C157" s="13">
        <v>4.1820000000000004</v>
      </c>
      <c r="D157" s="14"/>
      <c r="E157" s="28">
        <v>4.2679999999999998</v>
      </c>
    </row>
    <row r="158" spans="2:7" s="20" customFormat="1" x14ac:dyDescent="0.25">
      <c r="B158" s="7" t="s">
        <v>61</v>
      </c>
      <c r="C158" s="114">
        <f>SUM(C155:C157)</f>
        <v>8.7579999999999991</v>
      </c>
      <c r="D158" s="16"/>
      <c r="E158" s="122">
        <f t="shared" ref="E158" si="35">SUM(E155:E157)</f>
        <v>9.5329999999999995</v>
      </c>
    </row>
    <row r="159" spans="2:7" s="20" customFormat="1" x14ac:dyDescent="0.25">
      <c r="C159" s="13"/>
      <c r="D159" s="14"/>
      <c r="E159" s="28"/>
    </row>
    <row r="160" spans="2:7" s="20" customFormat="1" x14ac:dyDescent="0.25">
      <c r="B160" s="27" t="s">
        <v>62</v>
      </c>
      <c r="C160" s="114">
        <f>0.014+55.517</f>
        <v>55.531000000000006</v>
      </c>
      <c r="D160" s="16"/>
      <c r="E160" s="122">
        <f>0.025+49.987</f>
        <v>50.012</v>
      </c>
      <c r="G160" s="14"/>
    </row>
    <row r="161" spans="2:9" s="20" customFormat="1" x14ac:dyDescent="0.25">
      <c r="B161" s="27"/>
      <c r="C161" s="114"/>
      <c r="D161" s="16"/>
      <c r="E161" s="122"/>
    </row>
    <row r="162" spans="2:9" s="20" customFormat="1" x14ac:dyDescent="0.25">
      <c r="B162" s="27" t="s">
        <v>63</v>
      </c>
      <c r="C162" s="114">
        <v>18.63</v>
      </c>
      <c r="D162" s="16"/>
      <c r="E162" s="122">
        <v>11.116</v>
      </c>
      <c r="G162" s="14"/>
      <c r="I162" s="29"/>
    </row>
    <row r="163" spans="2:9" s="20" customFormat="1" x14ac:dyDescent="0.25">
      <c r="B163" s="27"/>
      <c r="C163" s="114"/>
      <c r="D163" s="16"/>
      <c r="E163" s="122"/>
    </row>
    <row r="164" spans="2:9" s="20" customFormat="1" x14ac:dyDescent="0.25">
      <c r="B164" s="27" t="s">
        <v>64</v>
      </c>
      <c r="C164" s="114">
        <v>12.715</v>
      </c>
      <c r="D164" s="16"/>
      <c r="E164" s="122">
        <v>19.350000000000001</v>
      </c>
      <c r="I164" s="14"/>
    </row>
    <row r="165" spans="2:9" s="20" customFormat="1" x14ac:dyDescent="0.25">
      <c r="B165" s="27"/>
      <c r="C165" s="114"/>
      <c r="D165" s="16"/>
      <c r="E165" s="122"/>
      <c r="I165" s="29"/>
    </row>
    <row r="166" spans="2:9" s="20" customFormat="1" x14ac:dyDescent="0.25">
      <c r="B166" s="27" t="s">
        <v>65</v>
      </c>
      <c r="C166" s="114">
        <v>0.63900000000000001</v>
      </c>
      <c r="D166" s="16"/>
      <c r="E166" s="122">
        <v>0.78200000000000003</v>
      </c>
      <c r="I166" s="14"/>
    </row>
    <row r="167" spans="2:9" s="20" customFormat="1" x14ac:dyDescent="0.25">
      <c r="C167" s="13"/>
      <c r="D167" s="14"/>
      <c r="E167" s="28"/>
    </row>
    <row r="168" spans="2:9" s="20" customFormat="1" x14ac:dyDescent="0.25">
      <c r="B168" s="19" t="s">
        <v>66</v>
      </c>
      <c r="C168" s="115">
        <f>+C158+C160+C162+C164+C166</f>
        <v>96.272999999999996</v>
      </c>
      <c r="D168" s="17"/>
      <c r="E168" s="46">
        <f t="shared" ref="E168" si="36">+E158+E160+E162+E164+E166</f>
        <v>90.792999999999992</v>
      </c>
      <c r="F168" s="14"/>
      <c r="I168" s="14"/>
    </row>
    <row r="169" spans="2:9" s="20" customFormat="1" x14ac:dyDescent="0.25">
      <c r="C169" s="13"/>
      <c r="D169" s="14"/>
      <c r="E169" s="28"/>
    </row>
    <row r="170" spans="2:9" s="20" customFormat="1" x14ac:dyDescent="0.25">
      <c r="B170" s="19" t="s">
        <v>67</v>
      </c>
      <c r="C170" s="115">
        <f>+C168+C153</f>
        <v>463.02600000000007</v>
      </c>
      <c r="D170" s="17"/>
      <c r="E170" s="46">
        <f>+E168+E153</f>
        <v>475.81299999999993</v>
      </c>
    </row>
    <row r="171" spans="2:9" s="20" customFormat="1" x14ac:dyDescent="0.25">
      <c r="C171" s="13"/>
      <c r="D171" s="14"/>
      <c r="E171" s="28"/>
    </row>
    <row r="172" spans="2:9" s="20" customFormat="1" x14ac:dyDescent="0.25">
      <c r="C172" s="13"/>
      <c r="D172" s="14"/>
      <c r="E172" s="28"/>
    </row>
    <row r="173" spans="2:9" s="20" customFormat="1" x14ac:dyDescent="0.25">
      <c r="C173" s="13"/>
      <c r="D173" s="14"/>
      <c r="E173" s="28"/>
    </row>
    <row r="174" spans="2:9" s="26" customFormat="1" x14ac:dyDescent="0.25">
      <c r="B174" s="25" t="s">
        <v>125</v>
      </c>
      <c r="C174" s="116">
        <f>+C131</f>
        <v>40543</v>
      </c>
      <c r="D174" s="34"/>
      <c r="E174" s="121">
        <f>+E131</f>
        <v>40908</v>
      </c>
    </row>
    <row r="175" spans="2:9" s="20" customFormat="1" x14ac:dyDescent="0.25">
      <c r="C175" s="13"/>
      <c r="D175" s="14"/>
      <c r="E175" s="28"/>
    </row>
    <row r="176" spans="2:9" s="20" customFormat="1" x14ac:dyDescent="0.25">
      <c r="B176" s="20" t="s">
        <v>69</v>
      </c>
      <c r="C176" s="13">
        <v>11.3</v>
      </c>
      <c r="D176" s="14"/>
      <c r="E176" s="28">
        <v>11.496</v>
      </c>
    </row>
    <row r="177" spans="2:7" s="20" customFormat="1" x14ac:dyDescent="0.25">
      <c r="B177" s="20" t="s">
        <v>70</v>
      </c>
      <c r="C177" s="13">
        <v>0</v>
      </c>
      <c r="D177" s="14"/>
      <c r="E177" s="28">
        <v>0</v>
      </c>
    </row>
    <row r="178" spans="2:7" s="20" customFormat="1" x14ac:dyDescent="0.25">
      <c r="B178" s="20" t="s">
        <v>71</v>
      </c>
      <c r="C178" s="13">
        <f>8.255+1.146</f>
        <v>9.4009999999999998</v>
      </c>
      <c r="D178" s="14"/>
      <c r="E178" s="28">
        <f>12.91+3.938</f>
        <v>16.847999999999999</v>
      </c>
    </row>
    <row r="179" spans="2:7" s="20" customFormat="1" x14ac:dyDescent="0.25">
      <c r="B179" s="20" t="s">
        <v>72</v>
      </c>
      <c r="C179" s="13">
        <v>0</v>
      </c>
      <c r="D179" s="14"/>
      <c r="E179" s="28">
        <v>0</v>
      </c>
    </row>
    <row r="180" spans="2:7" s="20" customFormat="1" x14ac:dyDescent="0.25">
      <c r="B180" s="20" t="s">
        <v>73</v>
      </c>
      <c r="C180" s="13">
        <v>4.6970000000000001</v>
      </c>
      <c r="D180" s="14"/>
      <c r="E180" s="28">
        <v>4.6509999999999998</v>
      </c>
    </row>
    <row r="181" spans="2:7" s="20" customFormat="1" x14ac:dyDescent="0.25">
      <c r="B181" s="27" t="s">
        <v>68</v>
      </c>
      <c r="C181" s="114">
        <f t="shared" ref="C181:E181" si="37">SUM(C176:C180)</f>
        <v>25.398</v>
      </c>
      <c r="D181" s="16"/>
      <c r="E181" s="122">
        <f t="shared" si="37"/>
        <v>32.995000000000005</v>
      </c>
    </row>
    <row r="182" spans="2:7" s="20" customFormat="1" x14ac:dyDescent="0.25">
      <c r="B182" s="27"/>
      <c r="C182" s="114"/>
      <c r="D182" s="16"/>
      <c r="E182" s="122"/>
    </row>
    <row r="183" spans="2:7" s="31" customFormat="1" x14ac:dyDescent="0.25">
      <c r="B183" s="31" t="s">
        <v>137</v>
      </c>
      <c r="C183" s="52">
        <v>0</v>
      </c>
      <c r="D183" s="35"/>
      <c r="E183" s="123">
        <v>-0.124</v>
      </c>
    </row>
    <row r="184" spans="2:7" s="31" customFormat="1" x14ac:dyDescent="0.25">
      <c r="B184" s="31" t="s">
        <v>120</v>
      </c>
      <c r="C184" s="52">
        <v>250.22499999999999</v>
      </c>
      <c r="D184" s="35"/>
      <c r="E184" s="123">
        <v>251.75399999999999</v>
      </c>
    </row>
    <row r="185" spans="2:7" s="31" customFormat="1" x14ac:dyDescent="0.25">
      <c r="B185" s="31" t="s">
        <v>138</v>
      </c>
      <c r="C185" s="52">
        <v>43.915999999999997</v>
      </c>
      <c r="D185" s="35"/>
      <c r="E185" s="123">
        <v>44.822000000000003</v>
      </c>
    </row>
    <row r="186" spans="2:7" s="20" customFormat="1" x14ac:dyDescent="0.25">
      <c r="B186" s="27" t="s">
        <v>122</v>
      </c>
      <c r="C186" s="114">
        <f>+C184+C185+C183</f>
        <v>294.14099999999996</v>
      </c>
      <c r="D186" s="16"/>
      <c r="E186" s="122">
        <f>+E184+E185+E183</f>
        <v>296.452</v>
      </c>
    </row>
    <row r="187" spans="2:7" s="20" customFormat="1" x14ac:dyDescent="0.25">
      <c r="C187" s="13"/>
      <c r="D187" s="14"/>
      <c r="E187" s="28"/>
    </row>
    <row r="188" spans="2:7" s="20" customFormat="1" x14ac:dyDescent="0.25">
      <c r="B188" s="27" t="s">
        <v>74</v>
      </c>
      <c r="C188" s="114">
        <f>7.977+22.37</f>
        <v>30.347000000000001</v>
      </c>
      <c r="D188" s="16"/>
      <c r="E188" s="122">
        <f>7.612+25.656</f>
        <v>33.268000000000001</v>
      </c>
    </row>
    <row r="189" spans="2:7" s="20" customFormat="1" x14ac:dyDescent="0.25">
      <c r="C189" s="13"/>
      <c r="D189" s="14"/>
      <c r="E189" s="28"/>
    </row>
    <row r="190" spans="2:7" s="20" customFormat="1" x14ac:dyDescent="0.25">
      <c r="B190" s="31" t="s">
        <v>75</v>
      </c>
      <c r="C190" s="13">
        <v>0</v>
      </c>
      <c r="D190" s="14"/>
      <c r="E190" s="28">
        <v>0</v>
      </c>
    </row>
    <row r="191" spans="2:7" s="20" customFormat="1" x14ac:dyDescent="0.25">
      <c r="B191" s="20" t="s">
        <v>76</v>
      </c>
      <c r="C191" s="13">
        <v>49.741999999999997</v>
      </c>
      <c r="D191" s="14"/>
      <c r="E191" s="28">
        <v>47.942999999999998</v>
      </c>
      <c r="G191" s="14"/>
    </row>
    <row r="192" spans="2:7" s="20" customFormat="1" x14ac:dyDescent="0.25">
      <c r="B192" s="20" t="s">
        <v>77</v>
      </c>
      <c r="C192" s="13">
        <v>2.355</v>
      </c>
      <c r="D192" s="14"/>
      <c r="E192" s="28">
        <v>2.262</v>
      </c>
    </row>
    <row r="193" spans="2:10" s="20" customFormat="1" x14ac:dyDescent="0.25">
      <c r="B193" s="20" t="s">
        <v>123</v>
      </c>
      <c r="C193" s="13">
        <v>13.615</v>
      </c>
      <c r="D193" s="14"/>
      <c r="E193" s="28">
        <v>14.808999999999999</v>
      </c>
    </row>
    <row r="194" spans="2:10" s="20" customFormat="1" x14ac:dyDescent="0.25">
      <c r="B194" s="20" t="s">
        <v>78</v>
      </c>
      <c r="C194" s="13">
        <v>25.286000000000001</v>
      </c>
      <c r="D194" s="14"/>
      <c r="E194" s="28">
        <v>24.331</v>
      </c>
    </row>
    <row r="195" spans="2:10" s="20" customFormat="1" x14ac:dyDescent="0.25">
      <c r="B195" s="20" t="s">
        <v>79</v>
      </c>
      <c r="C195" s="13">
        <v>17.013000000000002</v>
      </c>
      <c r="D195" s="14"/>
      <c r="E195" s="28">
        <v>18.530999999999999</v>
      </c>
    </row>
    <row r="196" spans="2:10" s="20" customFormat="1" x14ac:dyDescent="0.25">
      <c r="B196" s="20" t="s">
        <v>80</v>
      </c>
      <c r="C196" s="13">
        <v>0</v>
      </c>
      <c r="D196" s="14"/>
      <c r="E196" s="28">
        <v>0</v>
      </c>
    </row>
    <row r="197" spans="2:10" s="20" customFormat="1" x14ac:dyDescent="0.25">
      <c r="B197" s="20" t="s">
        <v>81</v>
      </c>
      <c r="C197" s="13">
        <v>2.5289999999999999</v>
      </c>
      <c r="D197" s="14"/>
      <c r="E197" s="28">
        <v>2.82</v>
      </c>
    </row>
    <row r="198" spans="2:10" s="20" customFormat="1" x14ac:dyDescent="0.25">
      <c r="C198" s="13"/>
      <c r="D198" s="14"/>
      <c r="E198" s="28"/>
    </row>
    <row r="199" spans="2:10" s="20" customFormat="1" x14ac:dyDescent="0.25">
      <c r="B199" s="20" t="s">
        <v>65</v>
      </c>
      <c r="C199" s="13">
        <v>2.6</v>
      </c>
      <c r="D199" s="14"/>
      <c r="E199" s="28">
        <v>2.4020000000000001</v>
      </c>
    </row>
    <row r="200" spans="2:10" s="20" customFormat="1" x14ac:dyDescent="0.25">
      <c r="C200" s="13"/>
      <c r="D200" s="14"/>
      <c r="E200" s="28"/>
    </row>
    <row r="201" spans="2:10" s="20" customFormat="1" x14ac:dyDescent="0.25">
      <c r="B201" s="19" t="s">
        <v>82</v>
      </c>
      <c r="C201" s="115">
        <f>+C181+C188+SUM(C190:C197)+C199+C186</f>
        <v>463.02599999999995</v>
      </c>
      <c r="D201" s="17"/>
      <c r="E201" s="46">
        <f>+E181+E188+SUM(E190:E197)+E199+E186</f>
        <v>475.81299999999999</v>
      </c>
      <c r="J201" s="30"/>
    </row>
    <row r="202" spans="2:10" s="32" customFormat="1" x14ac:dyDescent="0.25">
      <c r="C202" s="118">
        <f>+C201-C170</f>
        <v>0</v>
      </c>
      <c r="D202" s="23">
        <f t="shared" ref="D202:E202" si="38">+D201-D170</f>
        <v>0</v>
      </c>
      <c r="E202" s="38">
        <f t="shared" si="38"/>
        <v>0</v>
      </c>
      <c r="J202" s="24"/>
    </row>
    <row r="203" spans="2:10" s="20" customFormat="1" x14ac:dyDescent="0.25">
      <c r="C203" s="13"/>
      <c r="D203" s="14"/>
      <c r="E203" s="28"/>
      <c r="J203" s="14"/>
    </row>
    <row r="204" spans="2:10" s="20" customFormat="1" x14ac:dyDescent="0.25">
      <c r="C204" s="13"/>
      <c r="D204" s="14"/>
      <c r="E204" s="28"/>
    </row>
    <row r="205" spans="2:10" s="26" customFormat="1" x14ac:dyDescent="0.25">
      <c r="B205" s="25" t="s">
        <v>83</v>
      </c>
      <c r="C205" s="116">
        <f>+C174</f>
        <v>40543</v>
      </c>
      <c r="D205" s="34"/>
      <c r="E205" s="121">
        <f>+E174</f>
        <v>40908</v>
      </c>
    </row>
    <row r="206" spans="2:10" s="20" customFormat="1" ht="3.75" customHeight="1" x14ac:dyDescent="0.25">
      <c r="C206" s="13"/>
      <c r="D206" s="14"/>
      <c r="E206" s="28"/>
    </row>
    <row r="207" spans="2:10" s="20" customFormat="1" x14ac:dyDescent="0.25">
      <c r="B207" s="20" t="s">
        <v>25</v>
      </c>
      <c r="C207" s="13">
        <f>+C60</f>
        <v>20.734000000000009</v>
      </c>
      <c r="D207" s="14"/>
      <c r="E207" s="28">
        <f>+E60</f>
        <v>18.542000000000023</v>
      </c>
    </row>
    <row r="208" spans="2:10" s="20" customFormat="1" x14ac:dyDescent="0.25">
      <c r="B208" s="20" t="s">
        <v>126</v>
      </c>
      <c r="C208" s="13">
        <v>0</v>
      </c>
      <c r="D208" s="14"/>
      <c r="E208" s="28">
        <v>0</v>
      </c>
      <c r="H208" s="28"/>
      <c r="I208" s="28"/>
      <c r="J208" s="14"/>
    </row>
    <row r="209" spans="2:5" s="20" customFormat="1" x14ac:dyDescent="0.25">
      <c r="B209" s="20" t="s">
        <v>128</v>
      </c>
      <c r="C209" s="13">
        <v>0</v>
      </c>
      <c r="D209" s="14"/>
      <c r="E209" s="28">
        <v>0</v>
      </c>
    </row>
    <row r="210" spans="2:5" s="20" customFormat="1" x14ac:dyDescent="0.25">
      <c r="B210" s="20" t="s">
        <v>43</v>
      </c>
      <c r="C210" s="13">
        <v>0</v>
      </c>
      <c r="D210" s="14"/>
      <c r="E210" s="28">
        <v>0</v>
      </c>
    </row>
    <row r="211" spans="2:5" s="20" customFormat="1" x14ac:dyDescent="0.25">
      <c r="B211" s="20" t="s">
        <v>129</v>
      </c>
      <c r="C211" s="13">
        <v>0</v>
      </c>
      <c r="D211" s="14"/>
      <c r="E211" s="28">
        <v>0</v>
      </c>
    </row>
    <row r="212" spans="2:5" s="20" customFormat="1" x14ac:dyDescent="0.25">
      <c r="B212" s="20" t="s">
        <v>130</v>
      </c>
      <c r="C212" s="13">
        <v>0</v>
      </c>
      <c r="D212" s="14"/>
      <c r="E212" s="28">
        <v>0</v>
      </c>
    </row>
    <row r="213" spans="2:5" s="32" customFormat="1" x14ac:dyDescent="0.25">
      <c r="B213" s="32" t="s">
        <v>92</v>
      </c>
      <c r="C213" s="119">
        <f>-21.232+14.327</f>
        <v>-6.9049999999999994</v>
      </c>
      <c r="D213" s="24"/>
      <c r="E213" s="124">
        <f>-18.59+13.576</f>
        <v>-5.0139999999999993</v>
      </c>
    </row>
    <row r="214" spans="2:5" s="20" customFormat="1" ht="3.75" customHeight="1" x14ac:dyDescent="0.25">
      <c r="C214" s="13"/>
      <c r="D214" s="14"/>
      <c r="E214" s="28"/>
    </row>
    <row r="215" spans="2:5" s="20" customFormat="1" x14ac:dyDescent="0.25">
      <c r="B215" s="27" t="s">
        <v>127</v>
      </c>
      <c r="C215" s="114">
        <f>SUM(C207:C213)</f>
        <v>13.82900000000001</v>
      </c>
      <c r="D215" s="16"/>
      <c r="E215" s="122">
        <f>SUM(E207:E213)</f>
        <v>13.528000000000024</v>
      </c>
    </row>
    <row r="216" spans="2:5" s="20" customFormat="1" x14ac:dyDescent="0.25">
      <c r="B216" s="20" t="s">
        <v>84</v>
      </c>
      <c r="C216" s="13">
        <v>-51.564</v>
      </c>
      <c r="D216" s="14"/>
      <c r="E216" s="28">
        <f>-31.517+0.357+0.233-0.347</f>
        <v>-31.274000000000001</v>
      </c>
    </row>
    <row r="217" spans="2:5" s="20" customFormat="1" x14ac:dyDescent="0.25">
      <c r="B217" s="20" t="s">
        <v>85</v>
      </c>
      <c r="C217" s="13">
        <v>-4.3540000000000001</v>
      </c>
      <c r="D217" s="14"/>
      <c r="E217" s="28">
        <v>8.9719999999999995</v>
      </c>
    </row>
    <row r="218" spans="2:5" s="20" customFormat="1" x14ac:dyDescent="0.25">
      <c r="B218" s="32" t="s">
        <v>92</v>
      </c>
      <c r="C218" s="119">
        <v>0</v>
      </c>
      <c r="D218" s="24"/>
      <c r="E218" s="124">
        <v>-0.10199999999999999</v>
      </c>
    </row>
    <row r="219" spans="2:5" s="20" customFormat="1" ht="3.75" customHeight="1" x14ac:dyDescent="0.25">
      <c r="C219" s="13"/>
      <c r="D219" s="14"/>
      <c r="E219" s="28"/>
    </row>
    <row r="220" spans="2:5" s="20" customFormat="1" x14ac:dyDescent="0.25">
      <c r="B220" s="19" t="s">
        <v>86</v>
      </c>
      <c r="C220" s="115">
        <f>SUM(C215:C218)</f>
        <v>-42.088999999999992</v>
      </c>
      <c r="D220" s="17"/>
      <c r="E220" s="46">
        <f>SUM(E215:E218)</f>
        <v>-8.8759999999999781</v>
      </c>
    </row>
    <row r="221" spans="2:5" s="20" customFormat="1" x14ac:dyDescent="0.25">
      <c r="C221" s="13"/>
      <c r="D221" s="14"/>
      <c r="E221" s="28"/>
    </row>
    <row r="222" spans="2:5" s="20" customFormat="1" x14ac:dyDescent="0.25">
      <c r="B222" s="20" t="s">
        <v>139</v>
      </c>
      <c r="C222" s="13">
        <v>9.3320000000000007</v>
      </c>
      <c r="D222" s="14" t="e">
        <f>-#REF!</f>
        <v>#REF!</v>
      </c>
      <c r="E222" s="28">
        <v>9.3330000000000002</v>
      </c>
    </row>
    <row r="223" spans="2:5" s="20" customFormat="1" x14ac:dyDescent="0.25">
      <c r="B223" s="21" t="s">
        <v>140</v>
      </c>
      <c r="C223" s="13">
        <v>0</v>
      </c>
      <c r="D223" s="14"/>
      <c r="E223" s="28">
        <v>3.3</v>
      </c>
    </row>
    <row r="224" spans="2:5" s="20" customFormat="1" x14ac:dyDescent="0.25">
      <c r="B224" s="20" t="s">
        <v>87</v>
      </c>
      <c r="C224" s="13">
        <f>27.675-0.774</f>
        <v>26.901</v>
      </c>
      <c r="D224" s="14"/>
      <c r="E224" s="28">
        <f>4.366-1.266</f>
        <v>3.0999999999999996</v>
      </c>
    </row>
    <row r="225" spans="2:11" s="20" customFormat="1" x14ac:dyDescent="0.25">
      <c r="B225" s="21" t="s">
        <v>142</v>
      </c>
      <c r="C225" s="13">
        <v>0</v>
      </c>
      <c r="D225" s="14"/>
      <c r="E225" s="28">
        <v>6.9000000000000006E-2</v>
      </c>
    </row>
    <row r="226" spans="2:11" s="20" customFormat="1" x14ac:dyDescent="0.25">
      <c r="B226" s="20" t="s">
        <v>141</v>
      </c>
      <c r="C226" s="13">
        <v>-0.80200000000000005</v>
      </c>
      <c r="D226" s="14"/>
      <c r="E226" s="28">
        <v>-0.33900000000000002</v>
      </c>
      <c r="J226" s="14"/>
      <c r="K226" s="14"/>
    </row>
    <row r="227" spans="2:11" s="20" customFormat="1" x14ac:dyDescent="0.25">
      <c r="C227" s="13"/>
      <c r="D227" s="14"/>
      <c r="E227" s="28"/>
    </row>
    <row r="228" spans="2:11" s="20" customFormat="1" x14ac:dyDescent="0.25">
      <c r="B228" s="19" t="s">
        <v>88</v>
      </c>
      <c r="C228" s="115">
        <f>+C220+C222+C224+C226</f>
        <v>-6.6579999999999906</v>
      </c>
      <c r="D228" s="17"/>
      <c r="E228" s="46">
        <f>+E220+E222+E224+E226+E223+E225</f>
        <v>6.5870000000000219</v>
      </c>
      <c r="G228" s="39"/>
    </row>
    <row r="229" spans="2:11" s="20" customFormat="1" x14ac:dyDescent="0.25">
      <c r="B229" s="20" t="s">
        <v>91</v>
      </c>
      <c r="C229" s="57"/>
      <c r="D229" s="14"/>
      <c r="E229" s="28">
        <f>+E164-C164</f>
        <v>6.6350000000000016</v>
      </c>
      <c r="G229" s="14"/>
    </row>
    <row r="230" spans="2:11" s="20" customFormat="1" x14ac:dyDescent="0.25">
      <c r="C230" s="13"/>
      <c r="D230" s="14"/>
      <c r="E230" s="28"/>
    </row>
    <row r="231" spans="2:11" s="12" customFormat="1" x14ac:dyDescent="0.25">
      <c r="C231" s="13"/>
      <c r="D231" s="13"/>
      <c r="E231" s="57"/>
    </row>
    <row r="232" spans="2:11" s="12" customFormat="1" x14ac:dyDescent="0.25">
      <c r="B232" s="12" t="s">
        <v>90</v>
      </c>
      <c r="C232" s="13">
        <f>+C158+C160+C162+C166-C194-C195-C196-C197-C199</f>
        <v>36.129999999999988</v>
      </c>
      <c r="D232" s="13"/>
      <c r="E232" s="57">
        <f>+E158+E160+E162+E166-E194-E195-E196-E197-E199</f>
        <v>23.358999999999995</v>
      </c>
    </row>
    <row r="233" spans="2:11" s="12" customFormat="1" x14ac:dyDescent="0.25">
      <c r="B233" s="12" t="s">
        <v>93</v>
      </c>
      <c r="C233" s="13">
        <f>+C232/C30*365</f>
        <v>53.576811664858738</v>
      </c>
      <c r="D233" s="13"/>
      <c r="E233" s="57">
        <f>+E232/E30*365</f>
        <v>34.240829390928575</v>
      </c>
    </row>
    <row r="234" spans="2:11" s="12" customFormat="1" x14ac:dyDescent="0.25">
      <c r="B234" s="12" t="s">
        <v>103</v>
      </c>
      <c r="C234" s="13">
        <f>+(C158+C160-C194)/C30*365</f>
        <v>57.837154313990759</v>
      </c>
      <c r="D234" s="13"/>
      <c r="E234" s="57">
        <f>+(E158+E160-E194)/E30*365</f>
        <v>51.618501056216402</v>
      </c>
    </row>
    <row r="235" spans="2:11" s="12" customFormat="1" x14ac:dyDescent="0.25">
      <c r="B235" s="12" t="s">
        <v>105</v>
      </c>
      <c r="C235" s="13">
        <f>+C160/(C30*1.196)*365</f>
        <v>68.851470224145814</v>
      </c>
      <c r="D235" s="13"/>
      <c r="E235" s="57">
        <f>+E160/(E30*1.196)*365</f>
        <v>61.296132287180725</v>
      </c>
    </row>
    <row r="236" spans="2:11" s="12" customFormat="1" x14ac:dyDescent="0.25">
      <c r="B236" s="12" t="s">
        <v>104</v>
      </c>
      <c r="C236" s="13">
        <f>+C155/(C48+C49+C50)*365</f>
        <v>0</v>
      </c>
      <c r="D236" s="13"/>
      <c r="E236" s="57">
        <f>+E155/(E48+E49+E50)*365</f>
        <v>0</v>
      </c>
    </row>
    <row r="237" spans="2:11" s="12" customFormat="1" x14ac:dyDescent="0.25">
      <c r="B237" s="12" t="s">
        <v>106</v>
      </c>
      <c r="C237" s="13">
        <f>+C194/((C48+C49+C50)*1.196)*365</f>
        <v>822.60753340827318</v>
      </c>
      <c r="D237" s="13"/>
      <c r="E237" s="57">
        <f>+E194/((E48+E49+E50)*1.196)*365</f>
        <v>697.22353070485337</v>
      </c>
    </row>
    <row r="238" spans="2:11" s="12" customFormat="1" x14ac:dyDescent="0.25">
      <c r="C238" s="13"/>
      <c r="D238" s="13"/>
      <c r="E238" s="57"/>
    </row>
    <row r="239" spans="2:11" s="12" customFormat="1" x14ac:dyDescent="0.25">
      <c r="B239" s="12" t="s">
        <v>107</v>
      </c>
      <c r="C239" s="13"/>
      <c r="D239" s="13"/>
      <c r="E239" s="57"/>
    </row>
    <row r="240" spans="2:11" s="12" customFormat="1" x14ac:dyDescent="0.25">
      <c r="B240" s="12" t="s">
        <v>55</v>
      </c>
      <c r="C240" s="13"/>
      <c r="D240" s="13"/>
      <c r="E240" s="57"/>
    </row>
    <row r="241" spans="2:5" s="12" customFormat="1" x14ac:dyDescent="0.25">
      <c r="B241" s="12" t="s">
        <v>108</v>
      </c>
      <c r="C241" s="13"/>
      <c r="D241" s="13"/>
      <c r="E241" s="57"/>
    </row>
    <row r="242" spans="2:5" s="12" customFormat="1" x14ac:dyDescent="0.25">
      <c r="B242" s="12" t="s">
        <v>110</v>
      </c>
      <c r="C242" s="13"/>
      <c r="D242" s="13"/>
      <c r="E242" s="57"/>
    </row>
    <row r="243" spans="2:5" s="12" customFormat="1" x14ac:dyDescent="0.25">
      <c r="B243" s="12" t="s">
        <v>109</v>
      </c>
      <c r="C243" s="13"/>
      <c r="D243" s="13"/>
      <c r="E243" s="57"/>
    </row>
    <row r="244" spans="2:5" s="12" customFormat="1" x14ac:dyDescent="0.25">
      <c r="C244" s="13"/>
      <c r="D244" s="13"/>
      <c r="E244" s="57"/>
    </row>
    <row r="245" spans="2:5" s="12" customFormat="1" x14ac:dyDescent="0.25">
      <c r="B245" s="12" t="s">
        <v>112</v>
      </c>
      <c r="C245" s="13"/>
      <c r="D245" s="13"/>
      <c r="E245" s="57"/>
    </row>
    <row r="246" spans="2:5" s="12" customFormat="1" x14ac:dyDescent="0.25">
      <c r="C246" s="13"/>
      <c r="D246" s="13"/>
      <c r="E246" s="57"/>
    </row>
    <row r="247" spans="2:5" s="12" customFormat="1" x14ac:dyDescent="0.25">
      <c r="B247" s="12" t="s">
        <v>111</v>
      </c>
      <c r="C247" s="13"/>
      <c r="D247" s="13"/>
      <c r="E247" s="57"/>
    </row>
    <row r="248" spans="2:5" s="12" customFormat="1" x14ac:dyDescent="0.25">
      <c r="C248" s="13"/>
      <c r="D248" s="13"/>
      <c r="E248" s="57"/>
    </row>
  </sheetData>
  <mergeCells count="1">
    <mergeCell ref="F4:H4"/>
  </mergeCells>
  <pageMargins left="0.7" right="0.7" top="0.75" bottom="0.75" header="0.3" footer="0.3"/>
  <pageSetup paperSize="9" orientation="portrait" horizontalDpi="4294967293" verticalDpi="4294967293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W105"/>
  <sheetViews>
    <sheetView showGridLines="0" tabSelected="1" zoomScale="90" zoomScaleNormal="90" workbookViewId="0">
      <selection activeCell="O13" sqref="O13"/>
    </sheetView>
  </sheetViews>
  <sheetFormatPr baseColWidth="10" defaultRowHeight="15" outlineLevelRow="1" x14ac:dyDescent="0.25"/>
  <cols>
    <col min="2" max="2" width="37.5703125" customWidth="1"/>
    <col min="5" max="5" width="0.85546875" customWidth="1"/>
    <col min="6" max="6" width="11.42578125" customWidth="1"/>
    <col min="12" max="12" width="1.28515625" customWidth="1"/>
  </cols>
  <sheetData>
    <row r="1" spans="1:21" x14ac:dyDescent="0.25">
      <c r="A1" s="78"/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</row>
    <row r="2" spans="1:21" x14ac:dyDescent="0.25">
      <c r="A2" s="78"/>
      <c r="B2" s="480" t="s">
        <v>430</v>
      </c>
      <c r="C2" s="76"/>
      <c r="D2" s="76"/>
      <c r="E2" s="76"/>
      <c r="F2" s="76"/>
      <c r="G2" s="76"/>
      <c r="H2" s="76"/>
      <c r="I2" s="76"/>
      <c r="J2" s="76"/>
      <c r="K2" s="76"/>
      <c r="L2" s="76"/>
      <c r="M2" s="77" t="s">
        <v>191</v>
      </c>
      <c r="N2" s="77" t="s">
        <v>191</v>
      </c>
      <c r="O2" s="78"/>
      <c r="P2" s="78"/>
      <c r="Q2" s="485" t="s">
        <v>417</v>
      </c>
      <c r="R2" s="486"/>
      <c r="S2" s="487"/>
      <c r="T2" s="488" t="s">
        <v>397</v>
      </c>
      <c r="U2" s="489" t="s">
        <v>389</v>
      </c>
    </row>
    <row r="3" spans="1:21" ht="15.75" thickBot="1" x14ac:dyDescent="0.3">
      <c r="A3" s="78"/>
      <c r="B3" s="79" t="s">
        <v>415</v>
      </c>
      <c r="C3" s="80">
        <v>2009</v>
      </c>
      <c r="D3" s="80">
        <v>2010</v>
      </c>
      <c r="E3" s="80"/>
      <c r="F3" s="80">
        <v>2011</v>
      </c>
      <c r="G3" s="80">
        <f>+F3+1</f>
        <v>2012</v>
      </c>
      <c r="H3" s="80">
        <f t="shared" ref="H3:J3" si="0">+G3+1</f>
        <v>2013</v>
      </c>
      <c r="I3" s="80">
        <f t="shared" si="0"/>
        <v>2014</v>
      </c>
      <c r="J3" s="80">
        <f t="shared" si="0"/>
        <v>2015</v>
      </c>
      <c r="K3" s="81" t="s">
        <v>193</v>
      </c>
      <c r="L3" s="79"/>
      <c r="M3" s="82" t="s">
        <v>194</v>
      </c>
      <c r="N3" s="82" t="s">
        <v>192</v>
      </c>
      <c r="O3" s="78"/>
      <c r="P3" s="78"/>
      <c r="Q3" s="442" t="s">
        <v>396</v>
      </c>
      <c r="R3" s="430"/>
      <c r="S3" s="401"/>
      <c r="T3" s="431">
        <v>3.5000000000000003E-2</v>
      </c>
      <c r="U3" s="443">
        <v>4.2000000000000003E-2</v>
      </c>
    </row>
    <row r="4" spans="1:21" x14ac:dyDescent="0.25">
      <c r="A4" s="78"/>
      <c r="B4" s="78"/>
      <c r="C4" s="78"/>
      <c r="D4" s="78"/>
      <c r="E4" s="78"/>
      <c r="F4" s="78"/>
      <c r="G4" s="78"/>
      <c r="H4" s="78"/>
      <c r="I4" s="78"/>
      <c r="J4" s="78"/>
      <c r="K4" s="78"/>
      <c r="L4" s="78"/>
      <c r="M4" s="102"/>
      <c r="N4" s="102"/>
      <c r="O4" s="78"/>
      <c r="P4" s="78"/>
      <c r="Q4" s="442" t="s">
        <v>413</v>
      </c>
      <c r="R4" s="430"/>
      <c r="S4" s="401"/>
      <c r="T4" s="431">
        <v>4.1000000000000002E-2</v>
      </c>
      <c r="U4" s="443">
        <v>4.4999999999999998E-2</v>
      </c>
    </row>
    <row r="5" spans="1:21" x14ac:dyDescent="0.25">
      <c r="A5" s="78"/>
      <c r="B5" s="78" t="s">
        <v>177</v>
      </c>
      <c r="C5" s="89">
        <f>+'Conso Sorégies'!E10</f>
        <v>183.221</v>
      </c>
      <c r="D5" s="89"/>
      <c r="E5" s="89"/>
      <c r="F5" s="89">
        <f>+C5*(1+$M5)</f>
        <v>186.88542000000001</v>
      </c>
      <c r="G5" s="89">
        <f>+F5*(1+$M5)</f>
        <v>190.62312840000001</v>
      </c>
      <c r="H5" s="89">
        <f>+G5*(1+$M5)</f>
        <v>194.43559096800001</v>
      </c>
      <c r="I5" s="89">
        <f>+H5*(1+$M5)</f>
        <v>198.32430278736001</v>
      </c>
      <c r="J5" s="89">
        <f>+I5*(1+$M5)</f>
        <v>202.29078884310721</v>
      </c>
      <c r="K5" s="89">
        <f>+J5*(1+N5)</f>
        <v>206.33660461996936</v>
      </c>
      <c r="L5" s="78"/>
      <c r="M5" s="85">
        <v>0.02</v>
      </c>
      <c r="N5" s="85">
        <f>+'Pré valo Séolis'!O5</f>
        <v>0.02</v>
      </c>
      <c r="O5" s="50"/>
      <c r="P5" s="78"/>
      <c r="Q5" s="442" t="s">
        <v>181</v>
      </c>
      <c r="R5" s="430"/>
      <c r="S5" s="401"/>
      <c r="T5" s="433">
        <v>0.66</v>
      </c>
      <c r="U5" s="444">
        <v>0.66</v>
      </c>
    </row>
    <row r="6" spans="1:21" x14ac:dyDescent="0.25">
      <c r="A6" s="78"/>
      <c r="B6" s="78"/>
      <c r="C6" s="89"/>
      <c r="D6" s="89"/>
      <c r="E6" s="89"/>
      <c r="F6" s="89"/>
      <c r="G6" s="89"/>
      <c r="H6" s="89"/>
      <c r="I6" s="89"/>
      <c r="J6" s="89"/>
      <c r="K6" s="89"/>
      <c r="L6" s="78"/>
      <c r="M6" s="102"/>
      <c r="N6" s="102"/>
      <c r="O6" s="78"/>
      <c r="P6" s="78"/>
      <c r="Q6" s="445" t="s">
        <v>377</v>
      </c>
      <c r="R6" s="430"/>
      <c r="S6" s="401"/>
      <c r="T6" s="433">
        <f>+T5*(1+(1-T13)*T8/T7)</f>
        <v>1.3133999999999999</v>
      </c>
      <c r="U6" s="444">
        <f>+U5*(1+(1-U13)*U8/U7)</f>
        <v>1.3133999999999999</v>
      </c>
    </row>
    <row r="7" spans="1:21" x14ac:dyDescent="0.25">
      <c r="A7" s="78"/>
      <c r="B7" s="78" t="s">
        <v>405</v>
      </c>
      <c r="C7" s="89"/>
      <c r="D7" s="89">
        <f>+'Social Sorégies'!C61</f>
        <v>5.7220000000000084</v>
      </c>
      <c r="E7" s="89"/>
      <c r="F7" s="89">
        <f>+'Social Sorégies'!E61</f>
        <v>1.5560000000000187</v>
      </c>
      <c r="G7" s="89">
        <f>+'Social Sorégies'!F61</f>
        <v>1.2707188515594083</v>
      </c>
      <c r="H7" s="89">
        <f>+'Social Sorégies'!G61</f>
        <v>2.1227948693811882</v>
      </c>
      <c r="I7" s="89">
        <f>+'Social Sorégies'!H61</f>
        <v>2.1495348572071329</v>
      </c>
      <c r="J7" s="89">
        <f>+I7*(1+$M$7)</f>
        <v>2.2032732286373111</v>
      </c>
      <c r="K7" s="89">
        <f>+J7*(1+N7)</f>
        <v>2.2473386932100574</v>
      </c>
      <c r="L7" s="78"/>
      <c r="M7" s="473">
        <v>2.5000000000000001E-2</v>
      </c>
      <c r="N7" s="85">
        <f>+'Pré valo Séolis'!O7</f>
        <v>0.02</v>
      </c>
      <c r="O7" s="78"/>
      <c r="P7" s="78"/>
      <c r="Q7" s="445" t="s">
        <v>375</v>
      </c>
      <c r="R7" s="430"/>
      <c r="S7" s="401"/>
      <c r="T7" s="435">
        <v>40</v>
      </c>
      <c r="U7" s="446">
        <v>40</v>
      </c>
    </row>
    <row r="8" spans="1:21" x14ac:dyDescent="0.25">
      <c r="A8" s="78"/>
      <c r="B8" s="78" t="s">
        <v>406</v>
      </c>
      <c r="C8" s="89"/>
      <c r="D8" s="89">
        <f>14.859-3.642</f>
        <v>11.217000000000001</v>
      </c>
      <c r="E8" s="89"/>
      <c r="F8" s="89">
        <f>16.1*(1-A29)</f>
        <v>16.100000000000001</v>
      </c>
      <c r="G8" s="89">
        <f>+F8*(1+$M8)</f>
        <v>16.502500000000001</v>
      </c>
      <c r="H8" s="89">
        <f>+G8*(1+$M8)</f>
        <v>16.915062500000001</v>
      </c>
      <c r="I8" s="89">
        <f>+H8*(1+$M8)</f>
        <v>17.337939062499998</v>
      </c>
      <c r="J8" s="89">
        <f>+I8*(1+$M8)</f>
        <v>17.771387539062498</v>
      </c>
      <c r="K8" s="89">
        <f t="shared" ref="K8" si="1">+J8*(1+$M8)</f>
        <v>18.215672227539059</v>
      </c>
      <c r="L8" s="78"/>
      <c r="M8" s="473">
        <v>2.5000000000000001E-2</v>
      </c>
      <c r="N8" s="85">
        <f>+N7</f>
        <v>0.02</v>
      </c>
      <c r="O8" s="78"/>
      <c r="P8" s="78"/>
      <c r="Q8" s="445" t="s">
        <v>376</v>
      </c>
      <c r="R8" s="430"/>
      <c r="S8" s="401"/>
      <c r="T8" s="435">
        <v>60</v>
      </c>
      <c r="U8" s="446">
        <v>60</v>
      </c>
    </row>
    <row r="9" spans="1:21" x14ac:dyDescent="0.25">
      <c r="A9" s="78"/>
      <c r="B9" s="145" t="s">
        <v>407</v>
      </c>
      <c r="C9" s="146">
        <f>+'Conso Sorégies'!E31</f>
        <v>18.590000000000032</v>
      </c>
      <c r="D9" s="146">
        <f>+D7+D8</f>
        <v>16.939000000000007</v>
      </c>
      <c r="E9" s="146"/>
      <c r="F9" s="146">
        <f>+F7+F8</f>
        <v>17.65600000000002</v>
      </c>
      <c r="G9" s="146">
        <f t="shared" ref="G9:K9" si="2">+G7+G8</f>
        <v>17.77321885155941</v>
      </c>
      <c r="H9" s="146">
        <f t="shared" si="2"/>
        <v>19.037857369381189</v>
      </c>
      <c r="I9" s="146">
        <f t="shared" si="2"/>
        <v>19.487473919707131</v>
      </c>
      <c r="J9" s="146">
        <f>+J7+J8</f>
        <v>19.97466076769981</v>
      </c>
      <c r="K9" s="146">
        <f t="shared" si="2"/>
        <v>20.463010920749117</v>
      </c>
      <c r="L9" s="145"/>
      <c r="M9" s="147">
        <v>3.1338154488379059E-2</v>
      </c>
      <c r="N9" s="147">
        <f>+N5</f>
        <v>0.02</v>
      </c>
      <c r="O9" s="50"/>
      <c r="P9" s="78"/>
      <c r="Q9" s="442" t="s">
        <v>182</v>
      </c>
      <c r="R9" s="430"/>
      <c r="S9" s="401"/>
      <c r="T9" s="437">
        <f>+T7/(T7+T8)</f>
        <v>0.4</v>
      </c>
      <c r="U9" s="447">
        <f>+U7/(U7+U8)</f>
        <v>0.4</v>
      </c>
    </row>
    <row r="10" spans="1:21" x14ac:dyDescent="0.25">
      <c r="A10" s="78"/>
      <c r="B10" s="78"/>
      <c r="C10" s="89"/>
      <c r="D10" s="89"/>
      <c r="E10" s="89"/>
      <c r="F10" s="89"/>
      <c r="G10" s="89"/>
      <c r="H10" s="89"/>
      <c r="I10" s="89"/>
      <c r="J10" s="89"/>
      <c r="K10" s="89"/>
      <c r="L10" s="78"/>
      <c r="M10" s="102"/>
      <c r="N10" s="102"/>
      <c r="O10" s="78"/>
      <c r="P10" s="78"/>
      <c r="Q10" s="445" t="s">
        <v>373</v>
      </c>
      <c r="R10" s="430"/>
      <c r="S10" s="401"/>
      <c r="T10" s="439">
        <f>+T8/(T7+T8)</f>
        <v>0.6</v>
      </c>
      <c r="U10" s="448">
        <f>+U8/(U7+U8)</f>
        <v>0.6</v>
      </c>
    </row>
    <row r="11" spans="1:21" x14ac:dyDescent="0.25">
      <c r="A11" s="78"/>
      <c r="B11" s="78" t="s">
        <v>174</v>
      </c>
      <c r="C11" s="89">
        <f>-'Conso Sorégies'!E33</f>
        <v>-14.504</v>
      </c>
      <c r="D11" s="89">
        <f>-11.467+2.164-8.692+1.135+4.654</f>
        <v>-12.206</v>
      </c>
      <c r="E11" s="89"/>
      <c r="F11" s="420">
        <f>-8.598-15.035*(1-A29)+5.646</f>
        <v>-17.987000000000002</v>
      </c>
      <c r="G11" s="89">
        <f>+D11*1.02^2+10.802*A29</f>
        <v>-12.6991224</v>
      </c>
      <c r="H11" s="89">
        <f>+G11*(1+$M11)</f>
        <v>-12.953104848000001</v>
      </c>
      <c r="I11" s="89">
        <f>+H11*(1+$M11)</f>
        <v>-13.212166944960002</v>
      </c>
      <c r="J11" s="89">
        <f>+I11*(1+$M11)</f>
        <v>-13.476410283859202</v>
      </c>
      <c r="K11" s="89">
        <f>+J11*(1+N11)</f>
        <v>-13.745938489536387</v>
      </c>
      <c r="L11" s="78"/>
      <c r="M11" s="85">
        <v>0.02</v>
      </c>
      <c r="N11" s="85">
        <f>+N9</f>
        <v>0.02</v>
      </c>
      <c r="O11" s="78"/>
      <c r="P11" s="78"/>
      <c r="Q11" s="445" t="s">
        <v>374</v>
      </c>
      <c r="R11" s="430"/>
      <c r="S11" s="401"/>
      <c r="T11" s="439">
        <f>+T3+T4*T6</f>
        <v>8.8849399999999995E-2</v>
      </c>
      <c r="U11" s="448">
        <f>+U3+U4*U6</f>
        <v>0.101103</v>
      </c>
    </row>
    <row r="12" spans="1:21" x14ac:dyDescent="0.25">
      <c r="A12" s="78"/>
      <c r="B12" s="78"/>
      <c r="C12" s="89"/>
      <c r="D12" s="89"/>
      <c r="E12" s="89"/>
      <c r="F12" s="89"/>
      <c r="G12" s="89"/>
      <c r="H12" s="89"/>
      <c r="I12" s="89"/>
      <c r="J12" s="89"/>
      <c r="K12" s="89"/>
      <c r="L12" s="78"/>
      <c r="M12" s="102"/>
      <c r="N12" s="102"/>
      <c r="O12" s="78"/>
      <c r="P12" s="78"/>
      <c r="Q12" s="442" t="s">
        <v>372</v>
      </c>
      <c r="R12" s="430"/>
      <c r="S12" s="401"/>
      <c r="T12" s="437">
        <v>4.4999999999999998E-2</v>
      </c>
      <c r="U12" s="447">
        <f>+T12</f>
        <v>4.4999999999999998E-2</v>
      </c>
    </row>
    <row r="13" spans="1:21" x14ac:dyDescent="0.25">
      <c r="A13" s="78"/>
      <c r="B13" s="78" t="s">
        <v>26</v>
      </c>
      <c r="C13" s="89">
        <f>+C9+C11</f>
        <v>4.0860000000000323</v>
      </c>
      <c r="D13" s="89">
        <f>+D9+D11</f>
        <v>4.7330000000000076</v>
      </c>
      <c r="E13" s="89"/>
      <c r="F13" s="89">
        <f>+F9+F11</f>
        <v>-0.33099999999998175</v>
      </c>
      <c r="G13" s="89">
        <f t="shared" ref="G13:K13" si="3">+G9+G11</f>
        <v>5.0740964515594094</v>
      </c>
      <c r="H13" s="89">
        <f t="shared" si="3"/>
        <v>6.0847525213811888</v>
      </c>
      <c r="I13" s="89">
        <f t="shared" si="3"/>
        <v>6.2753069747471297</v>
      </c>
      <c r="J13" s="89">
        <f t="shared" si="3"/>
        <v>6.4982504838406072</v>
      </c>
      <c r="K13" s="89">
        <f t="shared" si="3"/>
        <v>6.7170724312127295</v>
      </c>
      <c r="L13" s="78"/>
      <c r="M13" s="85"/>
      <c r="N13" s="85">
        <f>+N11</f>
        <v>0.02</v>
      </c>
      <c r="O13" s="78"/>
      <c r="P13" s="78"/>
      <c r="Q13" s="442" t="s">
        <v>195</v>
      </c>
      <c r="R13" s="430"/>
      <c r="S13" s="401"/>
      <c r="T13" s="449">
        <v>0.34</v>
      </c>
      <c r="U13" s="450">
        <f>+T13</f>
        <v>0.34</v>
      </c>
    </row>
    <row r="14" spans="1:21" x14ac:dyDescent="0.25">
      <c r="A14" s="78"/>
      <c r="B14" s="78"/>
      <c r="C14" s="89"/>
      <c r="D14" s="89"/>
      <c r="E14" s="89"/>
      <c r="F14" s="89"/>
      <c r="G14" s="89"/>
      <c r="H14" s="89"/>
      <c r="I14" s="89"/>
      <c r="J14" s="89"/>
      <c r="K14" s="89"/>
      <c r="L14" s="78"/>
      <c r="M14" s="102"/>
      <c r="N14" s="102"/>
      <c r="O14" s="78"/>
      <c r="P14" s="78"/>
      <c r="Q14" s="442"/>
      <c r="R14" s="430"/>
      <c r="S14" s="401"/>
      <c r="T14" s="430"/>
      <c r="U14" s="451"/>
    </row>
    <row r="15" spans="1:21" ht="15.75" thickBot="1" x14ac:dyDescent="0.3">
      <c r="A15" s="78"/>
      <c r="B15" s="79" t="s">
        <v>176</v>
      </c>
      <c r="C15" s="482"/>
      <c r="D15" s="482"/>
      <c r="E15" s="482"/>
      <c r="F15" s="482">
        <f>-F13*$T130</f>
        <v>0</v>
      </c>
      <c r="G15" s="482">
        <f>-G13*$T13</f>
        <v>-1.7251927935301994</v>
      </c>
      <c r="H15" s="482">
        <f>-H13*$T13</f>
        <v>-2.0688158572696045</v>
      </c>
      <c r="I15" s="482">
        <f>-I13*$T13</f>
        <v>-2.1336043714140245</v>
      </c>
      <c r="J15" s="482">
        <f>-J13*$T13</f>
        <v>-2.2094051645058066</v>
      </c>
      <c r="K15" s="482">
        <f>-K13*$T13</f>
        <v>-2.2838046266123282</v>
      </c>
      <c r="L15" s="79"/>
      <c r="M15" s="79"/>
      <c r="N15" s="82"/>
      <c r="O15" s="78"/>
      <c r="P15" s="78"/>
      <c r="Q15" s="490" t="s">
        <v>416</v>
      </c>
      <c r="R15" s="491"/>
      <c r="S15" s="492"/>
      <c r="T15" s="493">
        <f>+T11*T9+T10*(T12*(1-T13))</f>
        <v>5.3359759999999992E-2</v>
      </c>
      <c r="U15" s="494">
        <f>+U11*U9+U10*(U12*(1-U13))</f>
        <v>5.8261199999999999E-2</v>
      </c>
    </row>
    <row r="16" spans="1:21" x14ac:dyDescent="0.25">
      <c r="A16" s="78"/>
      <c r="B16" s="78"/>
      <c r="C16" s="89"/>
      <c r="D16" s="89"/>
      <c r="E16" s="89"/>
      <c r="F16" s="140"/>
      <c r="G16" s="89"/>
      <c r="H16" s="89"/>
      <c r="I16" s="89"/>
      <c r="J16" s="89"/>
      <c r="K16" s="89"/>
      <c r="L16" s="78"/>
      <c r="M16" s="102"/>
      <c r="N16" s="102"/>
      <c r="O16" s="78"/>
      <c r="P16" s="78"/>
    </row>
    <row r="17" spans="1:21" x14ac:dyDescent="0.25">
      <c r="A17" s="78"/>
      <c r="B17" s="78"/>
      <c r="C17" s="89"/>
      <c r="D17" s="89"/>
      <c r="E17" s="89"/>
      <c r="F17" s="89"/>
      <c r="G17" s="89"/>
      <c r="H17" s="89"/>
      <c r="I17" s="89"/>
      <c r="L17" s="78"/>
      <c r="M17" s="102"/>
      <c r="N17" s="102"/>
      <c r="O17" s="78"/>
      <c r="P17" s="78"/>
    </row>
    <row r="18" spans="1:21" x14ac:dyDescent="0.25">
      <c r="A18" s="78"/>
      <c r="B18" s="78"/>
      <c r="C18" s="89"/>
      <c r="D18" s="89"/>
      <c r="E18" s="89"/>
      <c r="F18" s="89"/>
      <c r="G18" s="89"/>
      <c r="H18" s="89"/>
      <c r="I18" s="89"/>
      <c r="J18" s="89"/>
      <c r="K18" s="89"/>
      <c r="L18" s="78"/>
      <c r="M18" s="100"/>
      <c r="N18" s="100"/>
      <c r="O18" s="78"/>
      <c r="P18" s="78"/>
    </row>
    <row r="19" spans="1:21" x14ac:dyDescent="0.25">
      <c r="A19" s="78"/>
      <c r="B19" s="76" t="s">
        <v>199</v>
      </c>
      <c r="C19" s="483"/>
      <c r="D19" s="483"/>
      <c r="E19" s="483"/>
      <c r="F19" s="483"/>
      <c r="G19" s="483"/>
      <c r="H19" s="483"/>
      <c r="I19" s="483"/>
      <c r="J19" s="483"/>
      <c r="K19" s="483"/>
      <c r="L19" s="76"/>
      <c r="M19" s="474"/>
      <c r="N19" s="77" t="s">
        <v>398</v>
      </c>
      <c r="Q19" s="463" t="s">
        <v>404</v>
      </c>
      <c r="R19" s="441"/>
      <c r="S19" s="441"/>
      <c r="T19" s="441"/>
      <c r="U19" s="453"/>
    </row>
    <row r="20" spans="1:21" ht="15.75" thickBot="1" x14ac:dyDescent="0.3">
      <c r="A20" s="78"/>
      <c r="B20" s="79"/>
      <c r="C20" s="482"/>
      <c r="D20" s="482"/>
      <c r="E20" s="482"/>
      <c r="F20" s="482"/>
      <c r="G20" s="482"/>
      <c r="H20" s="482"/>
      <c r="I20" s="482"/>
      <c r="J20" s="482"/>
      <c r="K20" s="482"/>
      <c r="L20" s="79"/>
      <c r="M20" s="484"/>
      <c r="N20" s="82" t="s">
        <v>412</v>
      </c>
      <c r="Q20" s="454" t="s">
        <v>399</v>
      </c>
      <c r="R20" s="430"/>
      <c r="S20" s="430"/>
      <c r="T20" s="430"/>
      <c r="U20" s="451"/>
    </row>
    <row r="21" spans="1:21" x14ac:dyDescent="0.25">
      <c r="A21" s="78"/>
      <c r="B21" s="78" t="str">
        <f>+B9</f>
        <v>Excédent Brut d'Exploitation conso</v>
      </c>
      <c r="C21" s="89"/>
      <c r="D21" s="89"/>
      <c r="E21" s="89"/>
      <c r="F21" s="89">
        <f t="shared" ref="F21:K21" si="4">+F9</f>
        <v>17.65600000000002</v>
      </c>
      <c r="G21" s="89">
        <f t="shared" si="4"/>
        <v>17.77321885155941</v>
      </c>
      <c r="H21" s="89">
        <f t="shared" si="4"/>
        <v>19.037857369381189</v>
      </c>
      <c r="I21" s="89">
        <f t="shared" si="4"/>
        <v>19.487473919707131</v>
      </c>
      <c r="J21" s="89">
        <f t="shared" si="4"/>
        <v>19.97466076769981</v>
      </c>
      <c r="K21" s="89">
        <f t="shared" si="4"/>
        <v>20.463010920749117</v>
      </c>
      <c r="L21" s="78"/>
      <c r="N21" s="102"/>
      <c r="Q21" s="454" t="s">
        <v>400</v>
      </c>
      <c r="R21" s="430"/>
      <c r="S21" s="430"/>
      <c r="T21" s="430"/>
      <c r="U21" s="451"/>
    </row>
    <row r="22" spans="1:21" x14ac:dyDescent="0.25">
      <c r="A22" s="78"/>
      <c r="B22" s="78" t="s">
        <v>179</v>
      </c>
      <c r="C22" s="89"/>
      <c r="D22" s="89"/>
      <c r="E22" s="89"/>
      <c r="F22" s="89">
        <f t="shared" ref="F22:K22" si="5">+F15</f>
        <v>0</v>
      </c>
      <c r="G22" s="89">
        <f t="shared" si="5"/>
        <v>-1.7251927935301994</v>
      </c>
      <c r="H22" s="89">
        <f t="shared" si="5"/>
        <v>-2.0688158572696045</v>
      </c>
      <c r="I22" s="89">
        <f t="shared" si="5"/>
        <v>-2.1336043714140245</v>
      </c>
      <c r="J22" s="89">
        <f t="shared" si="5"/>
        <v>-2.2094051645058066</v>
      </c>
      <c r="K22" s="89">
        <f t="shared" si="5"/>
        <v>-2.2838046266123282</v>
      </c>
      <c r="L22" s="78"/>
      <c r="N22" s="102"/>
      <c r="Q22" s="454" t="s">
        <v>401</v>
      </c>
      <c r="R22" s="430"/>
      <c r="S22" s="430"/>
      <c r="T22" s="430"/>
      <c r="U22" s="451"/>
    </row>
    <row r="23" spans="1:21" x14ac:dyDescent="0.25">
      <c r="A23" s="78"/>
      <c r="B23" s="78" t="s">
        <v>90</v>
      </c>
      <c r="C23" s="89"/>
      <c r="D23" s="89"/>
      <c r="E23" s="89"/>
      <c r="F23" s="89">
        <f>-(F5-C5)*$S31/365</f>
        <v>-0.46718000000000071</v>
      </c>
      <c r="G23" s="89">
        <f>-(G5-F5)*$S31/365</f>
        <v>-0.47652360000000016</v>
      </c>
      <c r="H23" s="89">
        <f>-(H5-G5)*$S31/365</f>
        <v>-0.48605407199999995</v>
      </c>
      <c r="I23" s="89">
        <f>-(I5-H5)*$S31/365</f>
        <v>-0.49577515343999951</v>
      </c>
      <c r="J23" s="89">
        <f>-(J5-I5)*$S31/365</f>
        <v>-0.50569065650879941</v>
      </c>
      <c r="K23" s="89">
        <f>-K5*N9*S31/365</f>
        <v>-0.52612055903175536</v>
      </c>
      <c r="L23" s="78"/>
      <c r="N23" s="102"/>
      <c r="Q23" s="455"/>
      <c r="R23" s="456"/>
      <c r="S23" s="456"/>
      <c r="T23" s="456"/>
      <c r="U23" s="457"/>
    </row>
    <row r="24" spans="1:21" x14ac:dyDescent="0.25">
      <c r="A24" s="78"/>
      <c r="B24" s="78" t="s">
        <v>203</v>
      </c>
      <c r="C24" s="89"/>
      <c r="D24" s="89"/>
      <c r="E24" s="89"/>
      <c r="F24" s="89">
        <f>10.553*(1-A29)</f>
        <v>10.553000000000001</v>
      </c>
      <c r="G24" s="89">
        <f>10.1*(1-A29)</f>
        <v>10.1</v>
      </c>
      <c r="H24" s="89">
        <f>10.1*(1-A29)</f>
        <v>10.1</v>
      </c>
      <c r="I24" s="89">
        <f>10.3*(1-A29)</f>
        <v>10.3</v>
      </c>
      <c r="J24" s="89">
        <f>10.5*(1-A29)</f>
        <v>10.5</v>
      </c>
      <c r="K24" s="419">
        <f>+J24*(1+$N24)</f>
        <v>10.71</v>
      </c>
      <c r="L24" s="78"/>
      <c r="N24" s="85">
        <f>+N28</f>
        <v>0.02</v>
      </c>
      <c r="Q24" s="464" t="s">
        <v>408</v>
      </c>
      <c r="R24" s="430"/>
      <c r="S24" s="430"/>
      <c r="T24" s="430"/>
      <c r="U24" s="451"/>
    </row>
    <row r="25" spans="1:21" s="108" customFormat="1" outlineLevel="1" x14ac:dyDescent="0.25">
      <c r="A25" s="105"/>
      <c r="B25" s="105" t="s">
        <v>204</v>
      </c>
      <c r="C25" s="106"/>
      <c r="D25" s="106"/>
      <c r="E25" s="106"/>
      <c r="F25" s="106">
        <f>-8.301+5.75</f>
        <v>-2.5510000000000002</v>
      </c>
      <c r="G25" s="106">
        <f>-6.478+4.6</f>
        <v>-1.8780000000000001</v>
      </c>
      <c r="H25" s="106">
        <f>-6.266+4.5</f>
        <v>-1.766</v>
      </c>
      <c r="I25" s="106">
        <f>-6.047+4.3</f>
        <v>-1.7469999999999999</v>
      </c>
      <c r="J25" s="106">
        <f>-0.685-1.062</f>
        <v>-1.7470000000000001</v>
      </c>
      <c r="K25" s="106">
        <f>+J25*(1+N25)+K26</f>
        <v>-1.7819400000000001</v>
      </c>
      <c r="L25" s="105"/>
      <c r="N25" s="416">
        <v>0.02</v>
      </c>
      <c r="Q25" s="454" t="s">
        <v>402</v>
      </c>
      <c r="R25" s="430"/>
      <c r="S25" s="430"/>
      <c r="T25" s="430"/>
      <c r="U25" s="451"/>
    </row>
    <row r="26" spans="1:21" s="108" customFormat="1" outlineLevel="1" x14ac:dyDescent="0.25">
      <c r="A26" s="105"/>
      <c r="B26" s="105" t="s">
        <v>365</v>
      </c>
      <c r="C26" s="106"/>
      <c r="D26" s="106"/>
      <c r="E26" s="106"/>
      <c r="F26" s="106">
        <v>-5.75</v>
      </c>
      <c r="G26" s="106">
        <v>-4.5999999999999996</v>
      </c>
      <c r="H26" s="106">
        <v>-4.5</v>
      </c>
      <c r="I26" s="106">
        <v>-4.3</v>
      </c>
      <c r="J26" s="106">
        <v>0</v>
      </c>
      <c r="K26" s="106">
        <v>0</v>
      </c>
      <c r="L26" s="105"/>
      <c r="N26" s="107"/>
      <c r="Q26" s="454" t="s">
        <v>403</v>
      </c>
      <c r="R26" s="430"/>
      <c r="S26" s="430"/>
      <c r="T26" s="430"/>
      <c r="U26" s="451"/>
    </row>
    <row r="27" spans="1:21" s="108" customFormat="1" outlineLevel="1" x14ac:dyDescent="0.25">
      <c r="A27" s="105"/>
      <c r="B27" s="105" t="s">
        <v>205</v>
      </c>
      <c r="C27" s="106"/>
      <c r="D27" s="106"/>
      <c r="E27" s="106"/>
      <c r="F27" s="106">
        <f>-24.046*(1-A29)</f>
        <v>-24.045999999999999</v>
      </c>
      <c r="G27" s="106">
        <f>-22.4255*(1-A29)</f>
        <v>-22.4255</v>
      </c>
      <c r="H27" s="106">
        <f>-23.3355*(1-A29)</f>
        <v>-23.3355</v>
      </c>
      <c r="I27" s="106">
        <f>-23.7955*(1-A29)</f>
        <v>-23.795500000000001</v>
      </c>
      <c r="J27" s="106">
        <f>-24.2647*(1-A29)</f>
        <v>-24.264700000000001</v>
      </c>
      <c r="K27" s="418">
        <f>-21*(1-A29)</f>
        <v>-21</v>
      </c>
      <c r="L27" s="105"/>
      <c r="N27" s="107"/>
      <c r="Q27" s="454" t="s">
        <v>401</v>
      </c>
      <c r="R27" s="458"/>
      <c r="S27" s="458"/>
      <c r="T27" s="458"/>
      <c r="U27" s="459"/>
    </row>
    <row r="28" spans="1:21" x14ac:dyDescent="0.25">
      <c r="A28" s="78"/>
      <c r="B28" s="78" t="s">
        <v>84</v>
      </c>
      <c r="C28" s="89"/>
      <c r="D28" s="89"/>
      <c r="E28" s="89"/>
      <c r="F28" s="89">
        <f>+F25+F27+F26</f>
        <v>-32.347000000000001</v>
      </c>
      <c r="G28" s="89">
        <f t="shared" ref="G28:I28" si="6">+G25+G27+G26</f>
        <v>-28.903500000000001</v>
      </c>
      <c r="H28" s="89">
        <f t="shared" si="6"/>
        <v>-29.601500000000001</v>
      </c>
      <c r="I28" s="89">
        <f t="shared" si="6"/>
        <v>-29.842500000000001</v>
      </c>
      <c r="J28" s="89">
        <f>+J25+J27+J26</f>
        <v>-26.011700000000001</v>
      </c>
      <c r="K28" s="419">
        <f>+K27+K26+K25</f>
        <v>-22.781939999999999</v>
      </c>
      <c r="L28" s="78"/>
      <c r="N28" s="85">
        <f>+N13</f>
        <v>0.02</v>
      </c>
      <c r="Q28" s="442"/>
      <c r="R28" s="430"/>
      <c r="S28" s="430"/>
      <c r="T28" s="430"/>
      <c r="U28" s="451"/>
    </row>
    <row r="29" spans="1:21" s="396" customFormat="1" x14ac:dyDescent="0.25">
      <c r="A29" s="543">
        <v>0</v>
      </c>
      <c r="B29" s="78" t="s">
        <v>428</v>
      </c>
      <c r="C29" s="89"/>
      <c r="D29" s="89"/>
      <c r="E29" s="89"/>
      <c r="F29" s="89">
        <f>50*A29</f>
        <v>0</v>
      </c>
      <c r="G29" s="89"/>
      <c r="H29" s="89"/>
      <c r="I29" s="89"/>
      <c r="J29" s="89"/>
      <c r="K29" s="89"/>
      <c r="L29" s="417"/>
      <c r="N29" s="397"/>
      <c r="Q29" s="442" t="s">
        <v>410</v>
      </c>
      <c r="R29" s="430"/>
      <c r="S29" s="430"/>
      <c r="T29" s="433"/>
      <c r="U29" s="451"/>
    </row>
    <row r="30" spans="1:21" x14ac:dyDescent="0.25">
      <c r="A30" s="78"/>
      <c r="B30" s="96" t="s">
        <v>178</v>
      </c>
      <c r="C30" s="97"/>
      <c r="D30" s="97"/>
      <c r="E30" s="97"/>
      <c r="F30" s="97">
        <f>+F21+F22+F23+F24+F28+F29</f>
        <v>-4.6051799999999794</v>
      </c>
      <c r="G30" s="97">
        <f>+G21+G22+G23+G24+G28</f>
        <v>-3.2319975419707916</v>
      </c>
      <c r="H30" s="97">
        <f>+H21+H22+H23+H24+H28</f>
        <v>-3.0185125598884142</v>
      </c>
      <c r="I30" s="97">
        <f>+I21+I22+I23+I24+I28</f>
        <v>-2.6844056051468925</v>
      </c>
      <c r="J30" s="97">
        <f>+J21+J22+J23+J24+J28</f>
        <v>1.7478649466852012</v>
      </c>
      <c r="K30" s="97">
        <f>+K21+K22+K23+K24+K28</f>
        <v>5.5811457351050358</v>
      </c>
      <c r="L30" s="396"/>
      <c r="N30" s="85"/>
      <c r="Q30" s="442"/>
      <c r="R30" s="430"/>
      <c r="S30" s="430"/>
      <c r="T30" s="430"/>
      <c r="U30" s="451"/>
    </row>
    <row r="31" spans="1:21" x14ac:dyDescent="0.25">
      <c r="A31" s="78"/>
      <c r="B31" s="78"/>
      <c r="C31" s="89"/>
      <c r="D31" s="89"/>
      <c r="E31" s="89"/>
      <c r="F31" s="89"/>
      <c r="G31" s="89"/>
      <c r="H31" s="89"/>
      <c r="I31" s="89"/>
      <c r="J31" s="89"/>
      <c r="K31" s="89"/>
      <c r="L31" s="78"/>
      <c r="N31" s="78"/>
      <c r="Q31" s="464" t="s">
        <v>418</v>
      </c>
      <c r="R31" s="430"/>
      <c r="S31" s="433">
        <f>+'Conso Sorégies'!E184</f>
        <v>46.534158202389449</v>
      </c>
      <c r="T31" s="430"/>
      <c r="U31" s="451"/>
    </row>
    <row r="32" spans="1:21" x14ac:dyDescent="0.25">
      <c r="A32" s="78"/>
      <c r="B32" s="78" t="s">
        <v>183</v>
      </c>
      <c r="C32" s="89"/>
      <c r="D32" s="89"/>
      <c r="E32" s="89"/>
      <c r="F32" s="89"/>
      <c r="G32" s="89"/>
      <c r="H32" s="89"/>
      <c r="I32" s="89"/>
      <c r="J32" s="89"/>
      <c r="K32" s="90">
        <f>+K30/(T15-N9)</f>
        <v>167.30173523745486</v>
      </c>
      <c r="L32" s="88"/>
      <c r="M32" s="88"/>
      <c r="Q32" s="464" t="s">
        <v>419</v>
      </c>
      <c r="R32" s="430"/>
      <c r="S32" s="460">
        <v>0.34</v>
      </c>
      <c r="T32" s="430"/>
      <c r="U32" s="451"/>
    </row>
    <row r="33" spans="1:21" x14ac:dyDescent="0.25">
      <c r="A33" s="78"/>
      <c r="B33" s="78"/>
      <c r="C33" s="89"/>
      <c r="D33" s="89"/>
      <c r="E33" s="89"/>
      <c r="F33" s="89"/>
      <c r="G33" s="89"/>
      <c r="H33" s="89"/>
      <c r="I33" s="89"/>
      <c r="J33" s="89"/>
      <c r="K33" s="89"/>
      <c r="L33" s="78"/>
      <c r="M33" s="78"/>
      <c r="Q33" s="442"/>
      <c r="R33" s="430"/>
      <c r="S33" s="430"/>
      <c r="T33" s="430"/>
      <c r="U33" s="451"/>
    </row>
    <row r="34" spans="1:21" x14ac:dyDescent="0.25">
      <c r="A34" s="78"/>
      <c r="B34" s="78" t="s">
        <v>184</v>
      </c>
      <c r="C34" s="89"/>
      <c r="D34" s="89"/>
      <c r="E34" s="89"/>
      <c r="F34" s="89">
        <f>+(1+T15)</f>
        <v>1.05335976</v>
      </c>
      <c r="G34" s="89">
        <f>+F34*(1+$T15)</f>
        <v>1.1095667839872576</v>
      </c>
      <c r="H34" s="89">
        <f>+G34*(1+$T15)</f>
        <v>1.1687730012847894</v>
      </c>
      <c r="I34" s="89">
        <f>+H34*(1+$T15)</f>
        <v>1.2311384481278256</v>
      </c>
      <c r="J34" s="89">
        <f>+I34*(1+$T15)</f>
        <v>1.2968317002466987</v>
      </c>
      <c r="K34" s="89">
        <f>+J34*(1+$T15)</f>
        <v>1.3660303285322544</v>
      </c>
      <c r="L34" s="78"/>
      <c r="M34" s="78"/>
      <c r="Q34" s="464" t="s">
        <v>411</v>
      </c>
      <c r="R34" s="430"/>
      <c r="S34" s="430"/>
      <c r="T34" s="430"/>
      <c r="U34" s="451"/>
    </row>
    <row r="35" spans="1:21" x14ac:dyDescent="0.25">
      <c r="A35" s="78"/>
      <c r="B35" s="78"/>
      <c r="C35" s="89"/>
      <c r="D35" s="89"/>
      <c r="E35" s="89"/>
      <c r="F35" s="89"/>
      <c r="G35" s="89"/>
      <c r="H35" s="89"/>
      <c r="I35" s="89"/>
      <c r="J35" s="89"/>
      <c r="K35" s="89"/>
      <c r="L35" s="78"/>
      <c r="M35" s="78"/>
      <c r="Q35" s="454" t="s">
        <v>399</v>
      </c>
      <c r="R35" s="430"/>
      <c r="S35" s="430"/>
      <c r="T35" s="430"/>
      <c r="U35" s="451"/>
    </row>
    <row r="36" spans="1:21" x14ac:dyDescent="0.25">
      <c r="A36" s="78"/>
      <c r="B36" s="96" t="s">
        <v>185</v>
      </c>
      <c r="C36" s="97"/>
      <c r="D36" s="97"/>
      <c r="E36" s="97"/>
      <c r="F36" s="97">
        <f>+F30/F34</f>
        <v>-4.3718966443145497</v>
      </c>
      <c r="G36" s="97">
        <f t="shared" ref="G36:J36" si="7">+G30/G34</f>
        <v>-2.9128463366184438</v>
      </c>
      <c r="H36" s="97">
        <f t="shared" si="7"/>
        <v>-2.5826337163591848</v>
      </c>
      <c r="I36" s="97">
        <f t="shared" si="7"/>
        <v>-2.1804254503049836</v>
      </c>
      <c r="J36" s="97">
        <f t="shared" si="7"/>
        <v>1.3477962840919926</v>
      </c>
      <c r="K36" s="97">
        <f>+K32/K34</f>
        <v>122.47292885306139</v>
      </c>
      <c r="L36" s="78"/>
      <c r="M36" s="78"/>
      <c r="Q36" s="461" t="s">
        <v>409</v>
      </c>
      <c r="R36" s="452"/>
      <c r="S36" s="452"/>
      <c r="T36" s="452"/>
      <c r="U36" s="462"/>
    </row>
    <row r="37" spans="1:21" x14ac:dyDescent="0.25">
      <c r="A37" s="78"/>
      <c r="B37" s="78"/>
      <c r="C37" s="89"/>
      <c r="D37" s="89"/>
      <c r="E37" s="89"/>
      <c r="F37" s="89"/>
      <c r="G37" s="89"/>
      <c r="H37" s="89"/>
      <c r="I37" s="89"/>
      <c r="J37" s="89"/>
      <c r="K37" s="89"/>
      <c r="L37" s="78"/>
      <c r="M37" s="78"/>
    </row>
    <row r="38" spans="1:21" x14ac:dyDescent="0.25">
      <c r="A38" s="78"/>
      <c r="B38" s="88" t="s">
        <v>186</v>
      </c>
      <c r="C38" s="90"/>
      <c r="D38" s="90"/>
      <c r="E38" s="90"/>
      <c r="F38" s="90">
        <f>SUM(F36:K36)</f>
        <v>111.77292298955622</v>
      </c>
      <c r="G38" s="89"/>
      <c r="H38" s="89"/>
      <c r="I38" s="89"/>
      <c r="J38" s="89"/>
      <c r="K38" s="89"/>
      <c r="L38" s="78"/>
      <c r="M38" s="78"/>
    </row>
    <row r="39" spans="1:21" x14ac:dyDescent="0.25">
      <c r="A39" s="78"/>
      <c r="B39" s="78" t="s">
        <v>211</v>
      </c>
      <c r="C39" s="89"/>
      <c r="D39" s="89"/>
      <c r="E39" s="89"/>
      <c r="F39" s="89">
        <f>-158.436-'BZP avec remb ant4,97 puis 5,5'!H111/1000000</f>
        <v>-55.093000000000004</v>
      </c>
      <c r="G39" s="89"/>
      <c r="H39" s="89"/>
      <c r="I39" s="89"/>
      <c r="J39" s="89"/>
      <c r="K39" s="89"/>
      <c r="L39" s="78"/>
      <c r="M39" s="78"/>
    </row>
    <row r="40" spans="1:21" x14ac:dyDescent="0.25">
      <c r="A40" s="78"/>
      <c r="B40" s="78" t="s">
        <v>212</v>
      </c>
      <c r="C40" s="89"/>
      <c r="D40" s="89"/>
      <c r="E40" s="89"/>
      <c r="F40" s="89">
        <v>17.37</v>
      </c>
      <c r="G40" s="89"/>
      <c r="H40" s="89"/>
      <c r="I40" s="89"/>
      <c r="J40" s="89"/>
      <c r="K40" s="89"/>
      <c r="L40" s="78"/>
      <c r="M40" s="78"/>
    </row>
    <row r="41" spans="1:21" x14ac:dyDescent="0.25">
      <c r="A41" s="78"/>
      <c r="B41" s="78" t="s">
        <v>206</v>
      </c>
      <c r="C41" s="89"/>
      <c r="D41" s="89"/>
      <c r="E41" s="89"/>
      <c r="F41" s="89">
        <f>+'BZP avec remb ant4,97 puis 5,5'!H112/1000000</f>
        <v>20.56966225447929</v>
      </c>
      <c r="G41" s="89"/>
      <c r="H41" s="89"/>
      <c r="I41" s="84"/>
      <c r="J41" s="84"/>
      <c r="K41" s="84"/>
      <c r="L41" s="78"/>
      <c r="M41" s="78"/>
      <c r="N41" s="548" t="s">
        <v>202</v>
      </c>
      <c r="O41" s="549"/>
      <c r="P41" s="549"/>
      <c r="Q41" s="550" t="s">
        <v>416</v>
      </c>
      <c r="R41" s="550"/>
      <c r="S41" s="550"/>
      <c r="T41" s="550"/>
      <c r="U41" s="551"/>
    </row>
    <row r="42" spans="1:21" x14ac:dyDescent="0.25">
      <c r="A42" s="78"/>
      <c r="B42" s="78"/>
      <c r="F42" s="475"/>
      <c r="G42" s="89"/>
      <c r="H42" s="89"/>
      <c r="I42" s="89"/>
      <c r="J42" s="89"/>
      <c r="K42" s="89"/>
      <c r="L42" s="78"/>
      <c r="M42" s="78"/>
      <c r="N42" s="465"/>
      <c r="O42" s="101"/>
      <c r="P42" s="466">
        <f>+$F$30/(1+$T$15)+$G$30/(1+$T$15)^2+$H$30/(1+$T$15)^3+$I$30/(1+$T$15)^4+$J$30/(1+$T$15)^5+($K$30/($T$15-$N$28))/(1+$T$15)^6</f>
        <v>111.77292298955619</v>
      </c>
      <c r="Q42" s="467">
        <f>+R42-0.25%</f>
        <v>4.8359999999999993E-2</v>
      </c>
      <c r="R42" s="467">
        <f>+S42-0.25%</f>
        <v>5.0859999999999995E-2</v>
      </c>
      <c r="S42" s="467">
        <v>5.3359999999999998E-2</v>
      </c>
      <c r="T42" s="467">
        <f>+S42+0.25%</f>
        <v>5.586E-2</v>
      </c>
      <c r="U42" s="468">
        <f>+T42+0.25%</f>
        <v>5.8360000000000002E-2</v>
      </c>
    </row>
    <row r="43" spans="1:21" ht="15" customHeight="1" x14ac:dyDescent="0.25">
      <c r="A43" s="78"/>
      <c r="B43" s="78" t="s">
        <v>207</v>
      </c>
      <c r="C43" s="89"/>
      <c r="D43" s="89"/>
      <c r="E43" s="89"/>
      <c r="F43" s="89">
        <f>+'Pré valo Séolis'!G40</f>
        <v>16.641044790662473</v>
      </c>
      <c r="G43" s="89"/>
      <c r="H43" s="89"/>
      <c r="I43" s="89"/>
      <c r="J43" s="89"/>
      <c r="K43" s="89"/>
      <c r="L43" s="78"/>
      <c r="M43" s="78"/>
      <c r="N43" s="552" t="s">
        <v>201</v>
      </c>
      <c r="O43" s="469"/>
      <c r="P43" s="470">
        <v>1.2500000000000001E-2</v>
      </c>
      <c r="Q43" s="495">
        <f t="dataTable" ref="Q43:U47" dt2D="1" dtr="1" r1="T15" r2="N28"/>
        <v>104.78370774814547</v>
      </c>
      <c r="R43" s="495">
        <v>95.765884092474721</v>
      </c>
      <c r="S43" s="495">
        <v>87.880840900592659</v>
      </c>
      <c r="T43" s="495">
        <v>80.932162515510498</v>
      </c>
      <c r="U43" s="496">
        <v>74.76627175745125</v>
      </c>
    </row>
    <row r="44" spans="1:21" x14ac:dyDescent="0.25">
      <c r="A44" s="78"/>
      <c r="B44" s="96" t="s">
        <v>190</v>
      </c>
      <c r="C44" s="97"/>
      <c r="D44" s="97"/>
      <c r="E44" s="97"/>
      <c r="F44" s="97">
        <f>SUM(F38:F43)</f>
        <v>111.26063003469798</v>
      </c>
      <c r="G44" s="89"/>
      <c r="H44" s="89"/>
      <c r="I44" s="89"/>
      <c r="J44" s="89"/>
      <c r="K44" s="89"/>
      <c r="L44" s="78"/>
      <c r="M44" s="78"/>
      <c r="N44" s="552"/>
      <c r="O44" s="469"/>
      <c r="P44" s="470">
        <v>1.4999999999999999E-2</v>
      </c>
      <c r="Q44" s="495">
        <v>114.0379103355595</v>
      </c>
      <c r="R44" s="497">
        <v>103.73508514119196</v>
      </c>
      <c r="S44" s="497">
        <v>94.806501581255645</v>
      </c>
      <c r="T44" s="497">
        <v>86.999403007874861</v>
      </c>
      <c r="U44" s="496">
        <v>80.119334996264726</v>
      </c>
    </row>
    <row r="45" spans="1:21" x14ac:dyDescent="0.25">
      <c r="A45" s="78"/>
      <c r="B45" s="78"/>
      <c r="C45" s="89"/>
      <c r="D45" s="89"/>
      <c r="E45" s="89"/>
      <c r="F45" s="89"/>
      <c r="G45" s="89"/>
      <c r="H45" s="89"/>
      <c r="I45" s="89"/>
      <c r="J45" s="89"/>
      <c r="K45" s="89"/>
      <c r="L45" s="78"/>
      <c r="M45" s="78"/>
      <c r="N45" s="552"/>
      <c r="O45" s="469"/>
      <c r="P45" s="470">
        <v>0.02</v>
      </c>
      <c r="Q45" s="495">
        <v>137.44099247834279</v>
      </c>
      <c r="R45" s="497">
        <v>123.5470457522609</v>
      </c>
      <c r="S45" s="498">
        <v>111.77187900403081</v>
      </c>
      <c r="T45" s="497">
        <v>101.67177042276161</v>
      </c>
      <c r="U45" s="496">
        <v>92.918682239851108</v>
      </c>
    </row>
    <row r="46" spans="1:21" x14ac:dyDescent="0.25">
      <c r="A46" s="78"/>
      <c r="B46" s="109" t="s">
        <v>414</v>
      </c>
      <c r="C46" s="481">
        <v>2010</v>
      </c>
      <c r="D46" s="544"/>
      <c r="E46" s="78"/>
      <c r="F46" s="78"/>
      <c r="G46" s="78"/>
      <c r="H46" s="78"/>
      <c r="I46" s="78"/>
      <c r="J46" s="78"/>
      <c r="K46" s="78"/>
      <c r="L46" s="78"/>
      <c r="M46" s="78"/>
      <c r="N46" s="552"/>
      <c r="O46" s="469"/>
      <c r="P46" s="470">
        <v>2.2499999999999999E-2</v>
      </c>
      <c r="Q46" s="495">
        <v>152.53625195791068</v>
      </c>
      <c r="R46" s="497">
        <v>136.07273170982313</v>
      </c>
      <c r="S46" s="497">
        <v>122.316141446313</v>
      </c>
      <c r="T46" s="497">
        <v>110.65727600687839</v>
      </c>
      <c r="U46" s="496">
        <v>100.65682636257706</v>
      </c>
    </row>
    <row r="47" spans="1:21" x14ac:dyDescent="0.25">
      <c r="A47" s="78"/>
      <c r="B47" s="465" t="s">
        <v>208</v>
      </c>
      <c r="C47" s="477">
        <f>+F38/D9</f>
        <v>6.5985549908233176</v>
      </c>
      <c r="D47" s="476"/>
      <c r="E47" s="78"/>
      <c r="F47" s="78"/>
      <c r="G47" s="78"/>
      <c r="H47" s="78"/>
      <c r="I47" s="78"/>
      <c r="J47" s="78"/>
      <c r="K47" s="78"/>
      <c r="L47" s="78"/>
      <c r="M47" s="78"/>
      <c r="N47" s="553"/>
      <c r="O47" s="471"/>
      <c r="P47" s="472">
        <v>2.5000000000000001E-2</v>
      </c>
      <c r="Q47" s="499">
        <v>170.86251731923528</v>
      </c>
      <c r="R47" s="499">
        <v>151.02024403195651</v>
      </c>
      <c r="S47" s="499">
        <v>134.71940643483666</v>
      </c>
      <c r="T47" s="499">
        <v>121.09863149120847</v>
      </c>
      <c r="U47" s="500">
        <v>109.55476426868515</v>
      </c>
    </row>
    <row r="48" spans="1:21" x14ac:dyDescent="0.25">
      <c r="A48" s="78"/>
      <c r="B48" s="478" t="s">
        <v>209</v>
      </c>
      <c r="C48" s="479">
        <f>+F38/D13</f>
        <v>23.615660889405461</v>
      </c>
      <c r="D48" s="476"/>
      <c r="E48" s="78"/>
      <c r="F48" s="78"/>
      <c r="G48" s="78"/>
      <c r="H48" s="78"/>
      <c r="I48" s="78"/>
      <c r="J48" s="78"/>
      <c r="K48" s="78"/>
      <c r="L48" s="78"/>
      <c r="M48" s="78"/>
    </row>
    <row r="49" spans="1:13" x14ac:dyDescent="0.25">
      <c r="A49" s="78"/>
      <c r="B49" s="78"/>
      <c r="C49" s="78"/>
      <c r="D49" s="78"/>
      <c r="E49" s="78"/>
      <c r="F49" s="78"/>
      <c r="G49" s="78"/>
      <c r="H49" s="78"/>
      <c r="I49" s="78"/>
      <c r="J49" s="78"/>
      <c r="K49" s="78"/>
      <c r="L49" s="78"/>
      <c r="M49" s="78"/>
    </row>
    <row r="50" spans="1:13" x14ac:dyDescent="0.25">
      <c r="A50" s="78"/>
      <c r="K50" s="78"/>
      <c r="L50" s="78"/>
      <c r="M50" s="78"/>
    </row>
    <row r="51" spans="1:13" x14ac:dyDescent="0.25">
      <c r="A51" s="78"/>
      <c r="K51" s="78"/>
      <c r="L51" s="78"/>
      <c r="M51" s="78"/>
    </row>
    <row r="52" spans="1:13" x14ac:dyDescent="0.25">
      <c r="A52" s="78"/>
      <c r="B52" s="78"/>
      <c r="C52" s="78"/>
      <c r="D52" s="78"/>
      <c r="E52" s="78"/>
      <c r="F52" s="78"/>
      <c r="G52" s="78"/>
      <c r="H52" s="78"/>
      <c r="I52" s="78"/>
      <c r="J52" s="78"/>
      <c r="K52" s="78"/>
      <c r="L52" s="78"/>
      <c r="M52" s="78"/>
    </row>
    <row r="53" spans="1:13" x14ac:dyDescent="0.25">
      <c r="A53" s="78"/>
      <c r="B53" s="78"/>
      <c r="C53" s="78"/>
      <c r="L53" s="78"/>
      <c r="M53" s="78"/>
    </row>
    <row r="54" spans="1:13" x14ac:dyDescent="0.25">
      <c r="A54" s="78"/>
      <c r="B54" s="78"/>
      <c r="C54" s="78"/>
      <c r="L54" s="78"/>
      <c r="M54" s="78"/>
    </row>
    <row r="55" spans="1:13" x14ac:dyDescent="0.25">
      <c r="A55" s="78"/>
      <c r="B55" s="78"/>
      <c r="C55" s="78"/>
      <c r="L55" s="78"/>
      <c r="M55" s="78"/>
    </row>
    <row r="56" spans="1:13" x14ac:dyDescent="0.25">
      <c r="A56" s="78"/>
      <c r="B56" s="78"/>
      <c r="C56" s="78"/>
      <c r="L56" s="78"/>
      <c r="M56" s="84"/>
    </row>
    <row r="57" spans="1:13" ht="15" customHeight="1" x14ac:dyDescent="0.25">
      <c r="A57" s="78"/>
      <c r="B57" s="78"/>
      <c r="C57" s="78"/>
      <c r="L57" s="78"/>
      <c r="M57" s="86"/>
    </row>
    <row r="58" spans="1:13" x14ac:dyDescent="0.25">
      <c r="A58" s="78"/>
      <c r="B58" s="78"/>
      <c r="C58" s="78"/>
      <c r="L58" s="78"/>
      <c r="M58" s="86"/>
    </row>
    <row r="59" spans="1:13" x14ac:dyDescent="0.25">
      <c r="A59" s="78"/>
      <c r="B59" s="78"/>
      <c r="C59" s="78"/>
      <c r="L59" s="78"/>
      <c r="M59" s="86"/>
    </row>
    <row r="60" spans="1:13" x14ac:dyDescent="0.25">
      <c r="A60" s="78"/>
      <c r="B60" s="78"/>
      <c r="C60" s="78"/>
      <c r="D60" s="78"/>
      <c r="E60" s="78"/>
      <c r="F60" s="78"/>
      <c r="G60" s="78"/>
      <c r="H60" s="78"/>
      <c r="I60" s="78"/>
      <c r="J60" s="78"/>
      <c r="K60" s="78"/>
      <c r="L60" s="78"/>
      <c r="M60" s="86"/>
    </row>
    <row r="61" spans="1:13" x14ac:dyDescent="0.25">
      <c r="A61" s="78"/>
      <c r="B61" s="78"/>
      <c r="C61" s="78"/>
      <c r="D61" s="78"/>
      <c r="E61" s="78"/>
      <c r="F61" s="78"/>
      <c r="G61" s="89"/>
      <c r="H61" s="89"/>
      <c r="I61" s="89"/>
      <c r="J61" s="89"/>
      <c r="K61" s="89"/>
      <c r="L61" s="78"/>
      <c r="M61" s="86"/>
    </row>
    <row r="62" spans="1:13" x14ac:dyDescent="0.25">
      <c r="A62" s="78"/>
      <c r="B62" s="78"/>
      <c r="C62" s="78"/>
      <c r="D62" s="78"/>
      <c r="E62" s="78"/>
      <c r="F62" s="78"/>
      <c r="G62" s="89"/>
      <c r="H62" s="89"/>
      <c r="I62" s="89"/>
      <c r="J62" s="89"/>
      <c r="K62" s="89"/>
      <c r="L62" s="78"/>
      <c r="M62" s="78"/>
    </row>
    <row r="63" spans="1:13" x14ac:dyDescent="0.25">
      <c r="A63" s="78"/>
      <c r="B63" s="78"/>
      <c r="C63" s="78"/>
      <c r="D63" s="78"/>
      <c r="E63" s="78"/>
      <c r="F63" s="78"/>
      <c r="G63" s="89"/>
      <c r="H63" s="89"/>
      <c r="I63" s="90"/>
      <c r="J63" s="89"/>
      <c r="K63" s="89"/>
      <c r="L63" s="78"/>
      <c r="M63" s="78"/>
    </row>
    <row r="64" spans="1:13" x14ac:dyDescent="0.25">
      <c r="A64" s="78"/>
      <c r="B64" s="78"/>
      <c r="C64" s="78"/>
      <c r="D64" s="78"/>
      <c r="E64" s="78"/>
      <c r="F64" s="78"/>
      <c r="G64" s="89"/>
      <c r="H64" s="89"/>
      <c r="I64" s="89"/>
      <c r="J64" s="89"/>
      <c r="K64" s="89"/>
      <c r="L64" s="78"/>
      <c r="M64" s="78"/>
    </row>
    <row r="65" spans="1:23" x14ac:dyDescent="0.25">
      <c r="A65" s="78"/>
      <c r="B65" s="78"/>
      <c r="C65" s="78"/>
      <c r="D65" s="78"/>
      <c r="E65" s="78"/>
      <c r="F65" s="78"/>
      <c r="G65" s="89"/>
      <c r="H65" s="89"/>
      <c r="I65" s="89"/>
      <c r="J65" s="89"/>
      <c r="K65" s="89"/>
      <c r="L65" s="78"/>
      <c r="M65" s="78"/>
    </row>
    <row r="66" spans="1:23" x14ac:dyDescent="0.25">
      <c r="A66" s="78"/>
      <c r="L66" s="78"/>
      <c r="M66" s="78"/>
    </row>
    <row r="67" spans="1:23" x14ac:dyDescent="0.25">
      <c r="A67" s="78"/>
      <c r="L67" s="78"/>
      <c r="M67" s="78"/>
    </row>
    <row r="69" spans="1:23" x14ac:dyDescent="0.25">
      <c r="N69" s="100"/>
      <c r="O69" s="78"/>
      <c r="P69" s="78"/>
      <c r="Q69" s="78"/>
      <c r="R69" s="78"/>
    </row>
    <row r="70" spans="1:23" ht="15.75" x14ac:dyDescent="0.25">
      <c r="B70" s="423"/>
      <c r="C70" s="423"/>
      <c r="D70" s="423"/>
      <c r="E70" s="424"/>
      <c r="F70" s="424"/>
      <c r="G70" s="424">
        <v>1</v>
      </c>
      <c r="H70" s="424">
        <v>2</v>
      </c>
      <c r="I70" s="424">
        <v>3</v>
      </c>
      <c r="J70" s="424">
        <v>4</v>
      </c>
      <c r="K70" s="424"/>
      <c r="N70" s="100"/>
      <c r="O70" s="78"/>
      <c r="P70" s="89"/>
      <c r="Q70" s="554" t="s">
        <v>389</v>
      </c>
      <c r="R70" s="554"/>
      <c r="S70" s="554"/>
      <c r="T70" s="554"/>
      <c r="U70" s="554"/>
    </row>
    <row r="71" spans="1:23" ht="15.75" x14ac:dyDescent="0.25">
      <c r="B71" s="423" t="s">
        <v>392</v>
      </c>
      <c r="C71" s="423"/>
      <c r="D71" s="423"/>
      <c r="E71" s="424"/>
      <c r="F71" s="425"/>
      <c r="G71" s="424"/>
      <c r="H71" s="424"/>
      <c r="I71" s="424"/>
      <c r="J71" s="424"/>
      <c r="K71" s="424"/>
      <c r="L71" s="424"/>
      <c r="M71" s="424"/>
      <c r="N71" s="102"/>
      <c r="O71" s="78"/>
      <c r="P71" s="78"/>
      <c r="Q71" s="78" t="s">
        <v>378</v>
      </c>
      <c r="R71" s="78"/>
      <c r="U71" s="407">
        <v>4.2000000000000003E-2</v>
      </c>
      <c r="W71">
        <f>+U71+U72*U74</f>
        <v>0.10091143499999999</v>
      </c>
    </row>
    <row r="72" spans="1:23" ht="15.75" x14ac:dyDescent="0.25">
      <c r="B72" s="423" t="s">
        <v>393</v>
      </c>
      <c r="C72" s="423"/>
      <c r="D72" s="423"/>
      <c r="E72" s="424"/>
      <c r="F72" s="425"/>
      <c r="G72" s="424"/>
      <c r="H72" s="424"/>
      <c r="I72" s="424"/>
      <c r="J72" s="424"/>
      <c r="K72" s="424"/>
      <c r="L72" s="424"/>
      <c r="M72" s="424"/>
      <c r="N72" s="102"/>
      <c r="O72" s="78"/>
      <c r="P72" s="89"/>
      <c r="Q72" s="105" t="s">
        <v>382</v>
      </c>
      <c r="R72" s="105"/>
      <c r="S72" s="108"/>
      <c r="T72" s="108"/>
      <c r="U72" s="408">
        <v>4.4999999999999998E-2</v>
      </c>
    </row>
    <row r="73" spans="1:23" ht="15.75" x14ac:dyDescent="0.25">
      <c r="B73" s="423" t="s">
        <v>258</v>
      </c>
      <c r="C73" s="423"/>
      <c r="D73" s="423"/>
      <c r="E73" s="424"/>
      <c r="F73" s="425"/>
      <c r="G73" s="424"/>
      <c r="H73" s="424"/>
      <c r="I73" s="424"/>
      <c r="J73" s="424"/>
      <c r="K73" s="424"/>
      <c r="L73" s="424"/>
      <c r="M73" s="424"/>
      <c r="N73" s="102"/>
      <c r="O73" s="78"/>
      <c r="P73" s="78"/>
      <c r="Q73" s="78" t="s">
        <v>380</v>
      </c>
      <c r="R73" s="78"/>
      <c r="U73" s="410">
        <v>0.66</v>
      </c>
    </row>
    <row r="74" spans="1:23" ht="15.75" x14ac:dyDescent="0.25">
      <c r="B74" s="423" t="s">
        <v>394</v>
      </c>
      <c r="C74" s="423"/>
      <c r="D74" s="423"/>
      <c r="E74" s="424"/>
      <c r="F74" s="425">
        <v>16900</v>
      </c>
      <c r="G74" s="424"/>
      <c r="H74" s="424"/>
      <c r="I74" s="424"/>
      <c r="J74" s="424">
        <v>19.486999999999998</v>
      </c>
      <c r="K74" s="424"/>
      <c r="L74" s="424"/>
      <c r="M74" s="424"/>
      <c r="N74" s="102"/>
      <c r="O74" s="78"/>
      <c r="P74" s="78"/>
      <c r="Q74" s="78" t="s">
        <v>381</v>
      </c>
      <c r="R74" s="78"/>
      <c r="U74" s="399">
        <f>+U73*(1+(1-U85)*U76/U75)</f>
        <v>1.3091429999999999</v>
      </c>
    </row>
    <row r="75" spans="1:23" ht="15.75" x14ac:dyDescent="0.25">
      <c r="B75" s="423"/>
      <c r="C75" s="423"/>
      <c r="D75" s="423"/>
      <c r="E75" s="424"/>
      <c r="F75" s="424"/>
      <c r="G75" s="424"/>
      <c r="H75" s="424"/>
      <c r="I75" s="424"/>
      <c r="J75" s="424"/>
      <c r="K75" s="424"/>
      <c r="L75" s="424"/>
      <c r="M75" s="424"/>
      <c r="N75" s="107"/>
      <c r="O75" s="105"/>
      <c r="P75" s="105"/>
      <c r="Q75" s="108" t="s">
        <v>390</v>
      </c>
      <c r="R75" s="108"/>
      <c r="S75" s="108"/>
      <c r="T75" s="108"/>
      <c r="U75" s="412">
        <v>40</v>
      </c>
      <c r="V75" s="108"/>
      <c r="W75" s="108"/>
    </row>
    <row r="76" spans="1:23" ht="15.75" x14ac:dyDescent="0.25">
      <c r="B76" s="423" t="s">
        <v>395</v>
      </c>
      <c r="C76" s="423"/>
      <c r="D76" s="423"/>
      <c r="E76" s="424"/>
      <c r="G76" s="424"/>
      <c r="H76" s="424"/>
      <c r="I76" s="424"/>
      <c r="J76" s="424">
        <f>+J74*6.5</f>
        <v>126.66549999999999</v>
      </c>
      <c r="K76" s="424"/>
      <c r="L76" s="424"/>
      <c r="M76" s="424"/>
      <c r="N76" s="107"/>
      <c r="O76" s="105"/>
      <c r="P76" s="105"/>
      <c r="Q76" s="108" t="s">
        <v>357</v>
      </c>
      <c r="R76" s="108"/>
      <c r="S76" s="108"/>
      <c r="T76" s="108"/>
      <c r="U76" s="412">
        <v>60</v>
      </c>
      <c r="V76" s="108"/>
      <c r="W76" s="108"/>
    </row>
    <row r="77" spans="1:23" x14ac:dyDescent="0.25">
      <c r="J77" s="395">
        <f>+F39</f>
        <v>-55.093000000000004</v>
      </c>
      <c r="L77" s="424"/>
      <c r="M77" s="424"/>
      <c r="N77" s="107"/>
      <c r="O77" s="105"/>
      <c r="P77" s="105"/>
      <c r="Q77" s="108" t="s">
        <v>391</v>
      </c>
      <c r="R77" s="108"/>
      <c r="S77" s="108"/>
      <c r="T77" s="108"/>
      <c r="U77" s="411">
        <v>0.4</v>
      </c>
      <c r="V77" s="108"/>
      <c r="W77" s="108"/>
    </row>
    <row r="78" spans="1:23" x14ac:dyDescent="0.25">
      <c r="J78">
        <v>0</v>
      </c>
      <c r="N78" s="102"/>
      <c r="O78" s="78"/>
      <c r="P78" s="78"/>
      <c r="Q78" s="108" t="s">
        <v>371</v>
      </c>
      <c r="U78" s="413">
        <v>0.6</v>
      </c>
    </row>
    <row r="79" spans="1:23" x14ac:dyDescent="0.25">
      <c r="J79" s="395">
        <f>+F40</f>
        <v>17.37</v>
      </c>
      <c r="N79" s="398"/>
      <c r="O79" s="396"/>
      <c r="P79" s="396"/>
      <c r="Q79" s="396" t="s">
        <v>386</v>
      </c>
      <c r="R79" s="396"/>
      <c r="S79" s="396"/>
      <c r="T79" s="396"/>
      <c r="U79" s="409">
        <v>0.10920000000000001</v>
      </c>
      <c r="V79" s="427">
        <f>+U71+U72*U74</f>
        <v>0.10091143499999999</v>
      </c>
      <c r="W79" s="396"/>
    </row>
    <row r="80" spans="1:23" x14ac:dyDescent="0.25">
      <c r="J80" s="395">
        <f>+F41</f>
        <v>20.56966225447929</v>
      </c>
      <c r="N80" s="141"/>
      <c r="O80" s="78"/>
      <c r="P80" s="78"/>
      <c r="Q80" s="78" t="s">
        <v>385</v>
      </c>
      <c r="R80" s="78"/>
      <c r="U80" s="407">
        <v>4.8000000000000001E-2</v>
      </c>
    </row>
    <row r="81" spans="6:22" x14ac:dyDescent="0.25">
      <c r="J81" s="395">
        <f>+F43</f>
        <v>16.641044790662473</v>
      </c>
      <c r="N81" s="78"/>
      <c r="O81" s="78"/>
      <c r="P81" s="78"/>
    </row>
    <row r="82" spans="6:22" x14ac:dyDescent="0.25">
      <c r="F82" s="424">
        <f>-F44*0.1</f>
        <v>-11.126063003469799</v>
      </c>
      <c r="J82">
        <f>SUM(J76:J81)</f>
        <v>126.15320704514176</v>
      </c>
      <c r="N82" s="88"/>
      <c r="O82" s="78"/>
      <c r="P82" s="78"/>
      <c r="Q82" s="78" t="s">
        <v>387</v>
      </c>
      <c r="R82" s="78"/>
      <c r="U82" s="407">
        <v>7.2499999999999995E-2</v>
      </c>
      <c r="V82" s="407">
        <f>+W71*U77+(1-U85)*U80*U78</f>
        <v>5.9248733999999997E-2</v>
      </c>
    </row>
    <row r="83" spans="6:22" x14ac:dyDescent="0.25">
      <c r="F83">
        <f>+F82</f>
        <v>-11.126063003469799</v>
      </c>
      <c r="J83">
        <f>+J82*0.1</f>
        <v>12.615320704514176</v>
      </c>
      <c r="N83" s="78"/>
      <c r="O83" s="78"/>
      <c r="P83" s="78"/>
    </row>
    <row r="84" spans="6:22" x14ac:dyDescent="0.25">
      <c r="N84" s="78"/>
      <c r="O84" s="78"/>
      <c r="P84" s="78"/>
      <c r="R84" s="78"/>
      <c r="U84" s="407"/>
    </row>
    <row r="85" spans="6:22" x14ac:dyDescent="0.25">
      <c r="F85" s="426">
        <f>IRR(F83:J83)</f>
        <v>0.13385307099015487</v>
      </c>
      <c r="N85" s="78"/>
      <c r="O85" s="78"/>
      <c r="P85" s="78"/>
      <c r="Q85" s="105" t="s">
        <v>384</v>
      </c>
      <c r="R85" s="105"/>
      <c r="S85" s="108"/>
      <c r="T85" s="108"/>
      <c r="U85" s="408">
        <v>0.34429999999999999</v>
      </c>
    </row>
    <row r="86" spans="6:22" x14ac:dyDescent="0.25">
      <c r="N86" s="78"/>
      <c r="O86" s="78"/>
      <c r="P86" s="78"/>
      <c r="Q86" s="78" t="s">
        <v>379</v>
      </c>
      <c r="R86" s="142"/>
      <c r="U86" s="407">
        <v>6.0000000000000001E-3</v>
      </c>
    </row>
    <row r="87" spans="6:22" x14ac:dyDescent="0.25">
      <c r="N87" s="78"/>
      <c r="O87" s="78"/>
      <c r="P87" s="78"/>
      <c r="Q87" s="105" t="s">
        <v>383</v>
      </c>
      <c r="R87" s="105"/>
      <c r="S87" s="108"/>
      <c r="T87" s="108"/>
      <c r="U87" s="408">
        <v>0.6</v>
      </c>
    </row>
    <row r="88" spans="6:22" x14ac:dyDescent="0.25">
      <c r="N88" s="78"/>
      <c r="O88" s="89"/>
      <c r="P88" s="78"/>
      <c r="Q88" s="78" t="s">
        <v>388</v>
      </c>
      <c r="R88" s="78"/>
    </row>
    <row r="89" spans="6:22" x14ac:dyDescent="0.25">
      <c r="N89" s="78"/>
      <c r="O89" s="144" t="s">
        <v>363</v>
      </c>
      <c r="P89" s="144"/>
      <c r="Q89" s="144" t="s">
        <v>364</v>
      </c>
      <c r="R89" s="144"/>
    </row>
    <row r="90" spans="6:22" x14ac:dyDescent="0.25">
      <c r="N90" s="78"/>
      <c r="O90" s="89">
        <v>118.3</v>
      </c>
      <c r="P90" s="89"/>
      <c r="Q90" s="89">
        <f>+Q97-Q91-Q92-Q93-Q94</f>
        <v>175.04599999999999</v>
      </c>
      <c r="R90" s="89">
        <f>+Q90</f>
        <v>175.04599999999999</v>
      </c>
      <c r="S90" s="395"/>
      <c r="T90" s="395"/>
    </row>
    <row r="91" spans="6:22" x14ac:dyDescent="0.25">
      <c r="N91" s="78"/>
      <c r="O91" s="89">
        <v>-8.92</v>
      </c>
      <c r="P91" s="89"/>
      <c r="Q91" s="89">
        <f>+O91</f>
        <v>-8.92</v>
      </c>
      <c r="R91" s="89">
        <f>+F39</f>
        <v>-55.093000000000004</v>
      </c>
      <c r="S91" s="395" t="s">
        <v>357</v>
      </c>
      <c r="T91" s="395">
        <f>+R91+R92-Q91-Q92</f>
        <v>-47.676999999999992</v>
      </c>
    </row>
    <row r="92" spans="6:22" x14ac:dyDescent="0.25">
      <c r="N92" s="78"/>
      <c r="O92" s="89">
        <v>18.873999999999999</v>
      </c>
      <c r="P92" s="89"/>
      <c r="Q92" s="89">
        <f>+O92</f>
        <v>18.873999999999999</v>
      </c>
      <c r="R92" s="89">
        <f>+F40</f>
        <v>17.37</v>
      </c>
      <c r="S92" s="395" t="s">
        <v>146</v>
      </c>
      <c r="T92" s="395"/>
    </row>
    <row r="93" spans="6:22" x14ac:dyDescent="0.25">
      <c r="N93" s="78"/>
      <c r="O93" s="89">
        <v>0</v>
      </c>
      <c r="P93" s="89"/>
      <c r="Q93" s="89">
        <v>0</v>
      </c>
      <c r="R93" s="89">
        <v>0</v>
      </c>
      <c r="S93" s="395"/>
      <c r="T93" s="395"/>
    </row>
    <row r="94" spans="6:22" x14ac:dyDescent="0.25">
      <c r="N94" s="78"/>
      <c r="O94" s="89">
        <v>15</v>
      </c>
      <c r="P94" s="89"/>
      <c r="Q94" s="89">
        <v>15</v>
      </c>
      <c r="R94" s="89">
        <f>+F43</f>
        <v>16.641044790662473</v>
      </c>
      <c r="S94" s="395" t="s">
        <v>366</v>
      </c>
      <c r="T94" s="395"/>
    </row>
    <row r="95" spans="6:22" x14ac:dyDescent="0.25">
      <c r="N95" s="78"/>
      <c r="O95" s="89"/>
      <c r="P95" s="89"/>
      <c r="Q95" s="89"/>
      <c r="R95" s="89"/>
      <c r="S95" s="395"/>
      <c r="T95" s="395"/>
    </row>
    <row r="96" spans="6:22" x14ac:dyDescent="0.25">
      <c r="N96" s="78"/>
      <c r="R96" s="395"/>
      <c r="S96" s="395"/>
      <c r="T96" s="395"/>
    </row>
    <row r="97" spans="14:19" x14ac:dyDescent="0.25">
      <c r="N97" s="78"/>
      <c r="O97" s="89">
        <f>SUM(O90:O94)</f>
        <v>143.25399999999999</v>
      </c>
      <c r="P97" s="89"/>
      <c r="Q97" s="89">
        <v>200</v>
      </c>
      <c r="R97" s="89">
        <f>SUM(R90:R96)</f>
        <v>153.96404479066246</v>
      </c>
    </row>
    <row r="98" spans="14:19" x14ac:dyDescent="0.25">
      <c r="N98" s="78"/>
      <c r="O98" s="78"/>
      <c r="P98" s="78"/>
      <c r="Q98" s="78"/>
      <c r="R98" s="78"/>
    </row>
    <row r="99" spans="14:19" x14ac:dyDescent="0.25">
      <c r="N99" s="78" t="s">
        <v>367</v>
      </c>
      <c r="O99" s="78">
        <f>15.859+O100-2.097</f>
        <v>22.244</v>
      </c>
      <c r="P99" s="78"/>
      <c r="Q99" s="78">
        <f>+O99</f>
        <v>22.244</v>
      </c>
      <c r="R99" s="78"/>
    </row>
    <row r="100" spans="14:19" x14ac:dyDescent="0.25">
      <c r="N100" s="78" t="s">
        <v>368</v>
      </c>
      <c r="O100" s="78">
        <v>8.4819999999999993</v>
      </c>
      <c r="P100" s="78"/>
      <c r="Q100" s="78">
        <f>+O100</f>
        <v>8.4819999999999993</v>
      </c>
      <c r="R100" s="78"/>
    </row>
    <row r="101" spans="14:19" x14ac:dyDescent="0.25">
      <c r="N101" s="78" t="s">
        <v>369</v>
      </c>
      <c r="O101" s="87">
        <f>+O90/O99</f>
        <v>5.3182880776838699</v>
      </c>
      <c r="P101" s="78"/>
      <c r="Q101" s="87">
        <f>+Q90/Q99</f>
        <v>7.8693580291314511</v>
      </c>
      <c r="R101" s="400"/>
      <c r="S101" s="48"/>
    </row>
    <row r="102" spans="14:19" x14ac:dyDescent="0.25">
      <c r="N102" s="78" t="s">
        <v>370</v>
      </c>
      <c r="O102" s="87">
        <f>+O90/O100</f>
        <v>13.947182268332941</v>
      </c>
      <c r="P102" s="78"/>
      <c r="Q102" s="87">
        <f>+Q90/Q100</f>
        <v>20.637349681678849</v>
      </c>
      <c r="R102" s="400"/>
      <c r="S102" s="48"/>
    </row>
    <row r="103" spans="14:19" x14ac:dyDescent="0.25">
      <c r="N103" s="78"/>
      <c r="O103" s="78"/>
      <c r="P103" s="78"/>
      <c r="Q103" s="78"/>
      <c r="R103" s="78"/>
    </row>
    <row r="104" spans="14:19" x14ac:dyDescent="0.25">
      <c r="N104" s="78"/>
      <c r="O104" s="78"/>
      <c r="P104" s="78"/>
      <c r="Q104" s="78">
        <f>+(Q101*D9+C13*Q102)/2</f>
        <v>108.81163322739907</v>
      </c>
      <c r="R104" s="78"/>
    </row>
    <row r="105" spans="14:19" x14ac:dyDescent="0.25">
      <c r="N105" s="78"/>
      <c r="O105" s="78"/>
      <c r="P105" s="78"/>
      <c r="Q105" s="78"/>
      <c r="R105" s="78"/>
    </row>
  </sheetData>
  <mergeCells count="4">
    <mergeCell ref="N41:P41"/>
    <mergeCell ref="Q41:U41"/>
    <mergeCell ref="N43:N47"/>
    <mergeCell ref="Q70:U70"/>
  </mergeCells>
  <pageMargins left="0.7" right="0.7" top="0.75" bottom="0.75" header="0.3" footer="0.3"/>
  <pageSetup paperSize="9" orientation="portrait" horizontalDpi="4294967293" verticalDpi="0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I144"/>
  <sheetViews>
    <sheetView topLeftCell="B1" workbookViewId="0">
      <pane xSplit="5" ySplit="1" topLeftCell="G87" activePane="bottomRight" state="frozen"/>
      <selection activeCell="S30" sqref="S30"/>
      <selection pane="topRight" activeCell="S30" sqref="S30"/>
      <selection pane="bottomLeft" activeCell="S30" sqref="S30"/>
      <selection pane="bottomRight" activeCell="G105" sqref="G105"/>
    </sheetView>
  </sheetViews>
  <sheetFormatPr baseColWidth="10" defaultRowHeight="12.75" x14ac:dyDescent="0.25"/>
  <cols>
    <col min="1" max="1" width="6.7109375" style="191" hidden="1" customWidth="1"/>
    <col min="2" max="2" width="19" style="191" bestFit="1" customWidth="1"/>
    <col min="3" max="3" width="21" style="191" hidden="1" customWidth="1"/>
    <col min="4" max="4" width="21.28515625" style="191" hidden="1" customWidth="1"/>
    <col min="5" max="5" width="42" style="191" hidden="1" customWidth="1"/>
    <col min="6" max="6" width="44" style="191" customWidth="1"/>
    <col min="7" max="8" width="15.7109375" style="191" customWidth="1"/>
    <col min="9" max="9" width="16.28515625" style="191" customWidth="1"/>
    <col min="10" max="10" width="12.85546875" style="206" bestFit="1" customWidth="1"/>
    <col min="11" max="11" width="13.5703125" style="206" customWidth="1"/>
    <col min="12" max="23" width="12.85546875" style="206" bestFit="1" customWidth="1"/>
    <col min="24" max="24" width="14" style="206" customWidth="1"/>
    <col min="25" max="30" width="12.85546875" style="206" bestFit="1" customWidth="1"/>
    <col min="31" max="31" width="13.85546875" style="206" bestFit="1" customWidth="1"/>
    <col min="32" max="32" width="11.7109375" style="160" bestFit="1" customWidth="1"/>
    <col min="33" max="33" width="12.28515625" style="160" customWidth="1"/>
    <col min="34" max="256" width="11.42578125" style="191"/>
    <col min="257" max="257" width="0" style="191" hidden="1" customWidth="1"/>
    <col min="258" max="258" width="19" style="191" bestFit="1" customWidth="1"/>
    <col min="259" max="261" width="0" style="191" hidden="1" customWidth="1"/>
    <col min="262" max="262" width="44" style="191" customWidth="1"/>
    <col min="263" max="264" width="15.7109375" style="191" customWidth="1"/>
    <col min="265" max="265" width="16.28515625" style="191" customWidth="1"/>
    <col min="266" max="266" width="12.85546875" style="191" bestFit="1" customWidth="1"/>
    <col min="267" max="267" width="13.5703125" style="191" customWidth="1"/>
    <col min="268" max="279" width="12.85546875" style="191" bestFit="1" customWidth="1"/>
    <col min="280" max="280" width="14" style="191" customWidth="1"/>
    <col min="281" max="286" width="12.85546875" style="191" bestFit="1" customWidth="1"/>
    <col min="287" max="287" width="13.85546875" style="191" bestFit="1" customWidth="1"/>
    <col min="288" max="288" width="11.7109375" style="191" bestFit="1" customWidth="1"/>
    <col min="289" max="289" width="12.28515625" style="191" customWidth="1"/>
    <col min="290" max="512" width="11.42578125" style="191"/>
    <col min="513" max="513" width="0" style="191" hidden="1" customWidth="1"/>
    <col min="514" max="514" width="19" style="191" bestFit="1" customWidth="1"/>
    <col min="515" max="517" width="0" style="191" hidden="1" customWidth="1"/>
    <col min="518" max="518" width="44" style="191" customWidth="1"/>
    <col min="519" max="520" width="15.7109375" style="191" customWidth="1"/>
    <col min="521" max="521" width="16.28515625" style="191" customWidth="1"/>
    <col min="522" max="522" width="12.85546875" style="191" bestFit="1" customWidth="1"/>
    <col min="523" max="523" width="13.5703125" style="191" customWidth="1"/>
    <col min="524" max="535" width="12.85546875" style="191" bestFit="1" customWidth="1"/>
    <col min="536" max="536" width="14" style="191" customWidth="1"/>
    <col min="537" max="542" width="12.85546875" style="191" bestFit="1" customWidth="1"/>
    <col min="543" max="543" width="13.85546875" style="191" bestFit="1" customWidth="1"/>
    <col min="544" max="544" width="11.7109375" style="191" bestFit="1" customWidth="1"/>
    <col min="545" max="545" width="12.28515625" style="191" customWidth="1"/>
    <col min="546" max="768" width="11.42578125" style="191"/>
    <col min="769" max="769" width="0" style="191" hidden="1" customWidth="1"/>
    <col min="770" max="770" width="19" style="191" bestFit="1" customWidth="1"/>
    <col min="771" max="773" width="0" style="191" hidden="1" customWidth="1"/>
    <col min="774" max="774" width="44" style="191" customWidth="1"/>
    <col min="775" max="776" width="15.7109375" style="191" customWidth="1"/>
    <col min="777" max="777" width="16.28515625" style="191" customWidth="1"/>
    <col min="778" max="778" width="12.85546875" style="191" bestFit="1" customWidth="1"/>
    <col min="779" max="779" width="13.5703125" style="191" customWidth="1"/>
    <col min="780" max="791" width="12.85546875" style="191" bestFit="1" customWidth="1"/>
    <col min="792" max="792" width="14" style="191" customWidth="1"/>
    <col min="793" max="798" width="12.85546875" style="191" bestFit="1" customWidth="1"/>
    <col min="799" max="799" width="13.85546875" style="191" bestFit="1" customWidth="1"/>
    <col min="800" max="800" width="11.7109375" style="191" bestFit="1" customWidth="1"/>
    <col min="801" max="801" width="12.28515625" style="191" customWidth="1"/>
    <col min="802" max="1024" width="11.42578125" style="191"/>
    <col min="1025" max="1025" width="0" style="191" hidden="1" customWidth="1"/>
    <col min="1026" max="1026" width="19" style="191" bestFit="1" customWidth="1"/>
    <col min="1027" max="1029" width="0" style="191" hidden="1" customWidth="1"/>
    <col min="1030" max="1030" width="44" style="191" customWidth="1"/>
    <col min="1031" max="1032" width="15.7109375" style="191" customWidth="1"/>
    <col min="1033" max="1033" width="16.28515625" style="191" customWidth="1"/>
    <col min="1034" max="1034" width="12.85546875" style="191" bestFit="1" customWidth="1"/>
    <col min="1035" max="1035" width="13.5703125" style="191" customWidth="1"/>
    <col min="1036" max="1047" width="12.85546875" style="191" bestFit="1" customWidth="1"/>
    <col min="1048" max="1048" width="14" style="191" customWidth="1"/>
    <col min="1049" max="1054" width="12.85546875" style="191" bestFit="1" customWidth="1"/>
    <col min="1055" max="1055" width="13.85546875" style="191" bestFit="1" customWidth="1"/>
    <col min="1056" max="1056" width="11.7109375" style="191" bestFit="1" customWidth="1"/>
    <col min="1057" max="1057" width="12.28515625" style="191" customWidth="1"/>
    <col min="1058" max="1280" width="11.42578125" style="191"/>
    <col min="1281" max="1281" width="0" style="191" hidden="1" customWidth="1"/>
    <col min="1282" max="1282" width="19" style="191" bestFit="1" customWidth="1"/>
    <col min="1283" max="1285" width="0" style="191" hidden="1" customWidth="1"/>
    <col min="1286" max="1286" width="44" style="191" customWidth="1"/>
    <col min="1287" max="1288" width="15.7109375" style="191" customWidth="1"/>
    <col min="1289" max="1289" width="16.28515625" style="191" customWidth="1"/>
    <col min="1290" max="1290" width="12.85546875" style="191" bestFit="1" customWidth="1"/>
    <col min="1291" max="1291" width="13.5703125" style="191" customWidth="1"/>
    <col min="1292" max="1303" width="12.85546875" style="191" bestFit="1" customWidth="1"/>
    <col min="1304" max="1304" width="14" style="191" customWidth="1"/>
    <col min="1305" max="1310" width="12.85546875" style="191" bestFit="1" customWidth="1"/>
    <col min="1311" max="1311" width="13.85546875" style="191" bestFit="1" customWidth="1"/>
    <col min="1312" max="1312" width="11.7109375" style="191" bestFit="1" customWidth="1"/>
    <col min="1313" max="1313" width="12.28515625" style="191" customWidth="1"/>
    <col min="1314" max="1536" width="11.42578125" style="191"/>
    <col min="1537" max="1537" width="0" style="191" hidden="1" customWidth="1"/>
    <col min="1538" max="1538" width="19" style="191" bestFit="1" customWidth="1"/>
    <col min="1539" max="1541" width="0" style="191" hidden="1" customWidth="1"/>
    <col min="1542" max="1542" width="44" style="191" customWidth="1"/>
    <col min="1543" max="1544" width="15.7109375" style="191" customWidth="1"/>
    <col min="1545" max="1545" width="16.28515625" style="191" customWidth="1"/>
    <col min="1546" max="1546" width="12.85546875" style="191" bestFit="1" customWidth="1"/>
    <col min="1547" max="1547" width="13.5703125" style="191" customWidth="1"/>
    <col min="1548" max="1559" width="12.85546875" style="191" bestFit="1" customWidth="1"/>
    <col min="1560" max="1560" width="14" style="191" customWidth="1"/>
    <col min="1561" max="1566" width="12.85546875" style="191" bestFit="1" customWidth="1"/>
    <col min="1567" max="1567" width="13.85546875" style="191" bestFit="1" customWidth="1"/>
    <col min="1568" max="1568" width="11.7109375" style="191" bestFit="1" customWidth="1"/>
    <col min="1569" max="1569" width="12.28515625" style="191" customWidth="1"/>
    <col min="1570" max="1792" width="11.42578125" style="191"/>
    <col min="1793" max="1793" width="0" style="191" hidden="1" customWidth="1"/>
    <col min="1794" max="1794" width="19" style="191" bestFit="1" customWidth="1"/>
    <col min="1795" max="1797" width="0" style="191" hidden="1" customWidth="1"/>
    <col min="1798" max="1798" width="44" style="191" customWidth="1"/>
    <col min="1799" max="1800" width="15.7109375" style="191" customWidth="1"/>
    <col min="1801" max="1801" width="16.28515625" style="191" customWidth="1"/>
    <col min="1802" max="1802" width="12.85546875" style="191" bestFit="1" customWidth="1"/>
    <col min="1803" max="1803" width="13.5703125" style="191" customWidth="1"/>
    <col min="1804" max="1815" width="12.85546875" style="191" bestFit="1" customWidth="1"/>
    <col min="1816" max="1816" width="14" style="191" customWidth="1"/>
    <col min="1817" max="1822" width="12.85546875" style="191" bestFit="1" customWidth="1"/>
    <col min="1823" max="1823" width="13.85546875" style="191" bestFit="1" customWidth="1"/>
    <col min="1824" max="1824" width="11.7109375" style="191" bestFit="1" customWidth="1"/>
    <col min="1825" max="1825" width="12.28515625" style="191" customWidth="1"/>
    <col min="1826" max="2048" width="11.42578125" style="191"/>
    <col min="2049" max="2049" width="0" style="191" hidden="1" customWidth="1"/>
    <col min="2050" max="2050" width="19" style="191" bestFit="1" customWidth="1"/>
    <col min="2051" max="2053" width="0" style="191" hidden="1" customWidth="1"/>
    <col min="2054" max="2054" width="44" style="191" customWidth="1"/>
    <col min="2055" max="2056" width="15.7109375" style="191" customWidth="1"/>
    <col min="2057" max="2057" width="16.28515625" style="191" customWidth="1"/>
    <col min="2058" max="2058" width="12.85546875" style="191" bestFit="1" customWidth="1"/>
    <col min="2059" max="2059" width="13.5703125" style="191" customWidth="1"/>
    <col min="2060" max="2071" width="12.85546875" style="191" bestFit="1" customWidth="1"/>
    <col min="2072" max="2072" width="14" style="191" customWidth="1"/>
    <col min="2073" max="2078" width="12.85546875" style="191" bestFit="1" customWidth="1"/>
    <col min="2079" max="2079" width="13.85546875" style="191" bestFit="1" customWidth="1"/>
    <col min="2080" max="2080" width="11.7109375" style="191" bestFit="1" customWidth="1"/>
    <col min="2081" max="2081" width="12.28515625" style="191" customWidth="1"/>
    <col min="2082" max="2304" width="11.42578125" style="191"/>
    <col min="2305" max="2305" width="0" style="191" hidden="1" customWidth="1"/>
    <col min="2306" max="2306" width="19" style="191" bestFit="1" customWidth="1"/>
    <col min="2307" max="2309" width="0" style="191" hidden="1" customWidth="1"/>
    <col min="2310" max="2310" width="44" style="191" customWidth="1"/>
    <col min="2311" max="2312" width="15.7109375" style="191" customWidth="1"/>
    <col min="2313" max="2313" width="16.28515625" style="191" customWidth="1"/>
    <col min="2314" max="2314" width="12.85546875" style="191" bestFit="1" customWidth="1"/>
    <col min="2315" max="2315" width="13.5703125" style="191" customWidth="1"/>
    <col min="2316" max="2327" width="12.85546875" style="191" bestFit="1" customWidth="1"/>
    <col min="2328" max="2328" width="14" style="191" customWidth="1"/>
    <col min="2329" max="2334" width="12.85546875" style="191" bestFit="1" customWidth="1"/>
    <col min="2335" max="2335" width="13.85546875" style="191" bestFit="1" customWidth="1"/>
    <col min="2336" max="2336" width="11.7109375" style="191" bestFit="1" customWidth="1"/>
    <col min="2337" max="2337" width="12.28515625" style="191" customWidth="1"/>
    <col min="2338" max="2560" width="11.42578125" style="191"/>
    <col min="2561" max="2561" width="0" style="191" hidden="1" customWidth="1"/>
    <col min="2562" max="2562" width="19" style="191" bestFit="1" customWidth="1"/>
    <col min="2563" max="2565" width="0" style="191" hidden="1" customWidth="1"/>
    <col min="2566" max="2566" width="44" style="191" customWidth="1"/>
    <col min="2567" max="2568" width="15.7109375" style="191" customWidth="1"/>
    <col min="2569" max="2569" width="16.28515625" style="191" customWidth="1"/>
    <col min="2570" max="2570" width="12.85546875" style="191" bestFit="1" customWidth="1"/>
    <col min="2571" max="2571" width="13.5703125" style="191" customWidth="1"/>
    <col min="2572" max="2583" width="12.85546875" style="191" bestFit="1" customWidth="1"/>
    <col min="2584" max="2584" width="14" style="191" customWidth="1"/>
    <col min="2585" max="2590" width="12.85546875" style="191" bestFit="1" customWidth="1"/>
    <col min="2591" max="2591" width="13.85546875" style="191" bestFit="1" customWidth="1"/>
    <col min="2592" max="2592" width="11.7109375" style="191" bestFit="1" customWidth="1"/>
    <col min="2593" max="2593" width="12.28515625" style="191" customWidth="1"/>
    <col min="2594" max="2816" width="11.42578125" style="191"/>
    <col min="2817" max="2817" width="0" style="191" hidden="1" customWidth="1"/>
    <col min="2818" max="2818" width="19" style="191" bestFit="1" customWidth="1"/>
    <col min="2819" max="2821" width="0" style="191" hidden="1" customWidth="1"/>
    <col min="2822" max="2822" width="44" style="191" customWidth="1"/>
    <col min="2823" max="2824" width="15.7109375" style="191" customWidth="1"/>
    <col min="2825" max="2825" width="16.28515625" style="191" customWidth="1"/>
    <col min="2826" max="2826" width="12.85546875" style="191" bestFit="1" customWidth="1"/>
    <col min="2827" max="2827" width="13.5703125" style="191" customWidth="1"/>
    <col min="2828" max="2839" width="12.85546875" style="191" bestFit="1" customWidth="1"/>
    <col min="2840" max="2840" width="14" style="191" customWidth="1"/>
    <col min="2841" max="2846" width="12.85546875" style="191" bestFit="1" customWidth="1"/>
    <col min="2847" max="2847" width="13.85546875" style="191" bestFit="1" customWidth="1"/>
    <col min="2848" max="2848" width="11.7109375" style="191" bestFit="1" customWidth="1"/>
    <col min="2849" max="2849" width="12.28515625" style="191" customWidth="1"/>
    <col min="2850" max="3072" width="11.42578125" style="191"/>
    <col min="3073" max="3073" width="0" style="191" hidden="1" customWidth="1"/>
    <col min="3074" max="3074" width="19" style="191" bestFit="1" customWidth="1"/>
    <col min="3075" max="3077" width="0" style="191" hidden="1" customWidth="1"/>
    <col min="3078" max="3078" width="44" style="191" customWidth="1"/>
    <col min="3079" max="3080" width="15.7109375" style="191" customWidth="1"/>
    <col min="3081" max="3081" width="16.28515625" style="191" customWidth="1"/>
    <col min="3082" max="3082" width="12.85546875" style="191" bestFit="1" customWidth="1"/>
    <col min="3083" max="3083" width="13.5703125" style="191" customWidth="1"/>
    <col min="3084" max="3095" width="12.85546875" style="191" bestFit="1" customWidth="1"/>
    <col min="3096" max="3096" width="14" style="191" customWidth="1"/>
    <col min="3097" max="3102" width="12.85546875" style="191" bestFit="1" customWidth="1"/>
    <col min="3103" max="3103" width="13.85546875" style="191" bestFit="1" customWidth="1"/>
    <col min="3104" max="3104" width="11.7109375" style="191" bestFit="1" customWidth="1"/>
    <col min="3105" max="3105" width="12.28515625" style="191" customWidth="1"/>
    <col min="3106" max="3328" width="11.42578125" style="191"/>
    <col min="3329" max="3329" width="0" style="191" hidden="1" customWidth="1"/>
    <col min="3330" max="3330" width="19" style="191" bestFit="1" customWidth="1"/>
    <col min="3331" max="3333" width="0" style="191" hidden="1" customWidth="1"/>
    <col min="3334" max="3334" width="44" style="191" customWidth="1"/>
    <col min="3335" max="3336" width="15.7109375" style="191" customWidth="1"/>
    <col min="3337" max="3337" width="16.28515625" style="191" customWidth="1"/>
    <col min="3338" max="3338" width="12.85546875" style="191" bestFit="1" customWidth="1"/>
    <col min="3339" max="3339" width="13.5703125" style="191" customWidth="1"/>
    <col min="3340" max="3351" width="12.85546875" style="191" bestFit="1" customWidth="1"/>
    <col min="3352" max="3352" width="14" style="191" customWidth="1"/>
    <col min="3353" max="3358" width="12.85546875" style="191" bestFit="1" customWidth="1"/>
    <col min="3359" max="3359" width="13.85546875" style="191" bestFit="1" customWidth="1"/>
    <col min="3360" max="3360" width="11.7109375" style="191" bestFit="1" customWidth="1"/>
    <col min="3361" max="3361" width="12.28515625" style="191" customWidth="1"/>
    <col min="3362" max="3584" width="11.42578125" style="191"/>
    <col min="3585" max="3585" width="0" style="191" hidden="1" customWidth="1"/>
    <col min="3586" max="3586" width="19" style="191" bestFit="1" customWidth="1"/>
    <col min="3587" max="3589" width="0" style="191" hidden="1" customWidth="1"/>
    <col min="3590" max="3590" width="44" style="191" customWidth="1"/>
    <col min="3591" max="3592" width="15.7109375" style="191" customWidth="1"/>
    <col min="3593" max="3593" width="16.28515625" style="191" customWidth="1"/>
    <col min="3594" max="3594" width="12.85546875" style="191" bestFit="1" customWidth="1"/>
    <col min="3595" max="3595" width="13.5703125" style="191" customWidth="1"/>
    <col min="3596" max="3607" width="12.85546875" style="191" bestFit="1" customWidth="1"/>
    <col min="3608" max="3608" width="14" style="191" customWidth="1"/>
    <col min="3609" max="3614" width="12.85546875" style="191" bestFit="1" customWidth="1"/>
    <col min="3615" max="3615" width="13.85546875" style="191" bestFit="1" customWidth="1"/>
    <col min="3616" max="3616" width="11.7109375" style="191" bestFit="1" customWidth="1"/>
    <col min="3617" max="3617" width="12.28515625" style="191" customWidth="1"/>
    <col min="3618" max="3840" width="11.42578125" style="191"/>
    <col min="3841" max="3841" width="0" style="191" hidden="1" customWidth="1"/>
    <col min="3842" max="3842" width="19" style="191" bestFit="1" customWidth="1"/>
    <col min="3843" max="3845" width="0" style="191" hidden="1" customWidth="1"/>
    <col min="3846" max="3846" width="44" style="191" customWidth="1"/>
    <col min="3847" max="3848" width="15.7109375" style="191" customWidth="1"/>
    <col min="3849" max="3849" width="16.28515625" style="191" customWidth="1"/>
    <col min="3850" max="3850" width="12.85546875" style="191" bestFit="1" customWidth="1"/>
    <col min="3851" max="3851" width="13.5703125" style="191" customWidth="1"/>
    <col min="3852" max="3863" width="12.85546875" style="191" bestFit="1" customWidth="1"/>
    <col min="3864" max="3864" width="14" style="191" customWidth="1"/>
    <col min="3865" max="3870" width="12.85546875" style="191" bestFit="1" customWidth="1"/>
    <col min="3871" max="3871" width="13.85546875" style="191" bestFit="1" customWidth="1"/>
    <col min="3872" max="3872" width="11.7109375" style="191" bestFit="1" customWidth="1"/>
    <col min="3873" max="3873" width="12.28515625" style="191" customWidth="1"/>
    <col min="3874" max="4096" width="11.42578125" style="191"/>
    <col min="4097" max="4097" width="0" style="191" hidden="1" customWidth="1"/>
    <col min="4098" max="4098" width="19" style="191" bestFit="1" customWidth="1"/>
    <col min="4099" max="4101" width="0" style="191" hidden="1" customWidth="1"/>
    <col min="4102" max="4102" width="44" style="191" customWidth="1"/>
    <col min="4103" max="4104" width="15.7109375" style="191" customWidth="1"/>
    <col min="4105" max="4105" width="16.28515625" style="191" customWidth="1"/>
    <col min="4106" max="4106" width="12.85546875" style="191" bestFit="1" customWidth="1"/>
    <col min="4107" max="4107" width="13.5703125" style="191" customWidth="1"/>
    <col min="4108" max="4119" width="12.85546875" style="191" bestFit="1" customWidth="1"/>
    <col min="4120" max="4120" width="14" style="191" customWidth="1"/>
    <col min="4121" max="4126" width="12.85546875" style="191" bestFit="1" customWidth="1"/>
    <col min="4127" max="4127" width="13.85546875" style="191" bestFit="1" customWidth="1"/>
    <col min="4128" max="4128" width="11.7109375" style="191" bestFit="1" customWidth="1"/>
    <col min="4129" max="4129" width="12.28515625" style="191" customWidth="1"/>
    <col min="4130" max="4352" width="11.42578125" style="191"/>
    <col min="4353" max="4353" width="0" style="191" hidden="1" customWidth="1"/>
    <col min="4354" max="4354" width="19" style="191" bestFit="1" customWidth="1"/>
    <col min="4355" max="4357" width="0" style="191" hidden="1" customWidth="1"/>
    <col min="4358" max="4358" width="44" style="191" customWidth="1"/>
    <col min="4359" max="4360" width="15.7109375" style="191" customWidth="1"/>
    <col min="4361" max="4361" width="16.28515625" style="191" customWidth="1"/>
    <col min="4362" max="4362" width="12.85546875" style="191" bestFit="1" customWidth="1"/>
    <col min="4363" max="4363" width="13.5703125" style="191" customWidth="1"/>
    <col min="4364" max="4375" width="12.85546875" style="191" bestFit="1" customWidth="1"/>
    <col min="4376" max="4376" width="14" style="191" customWidth="1"/>
    <col min="4377" max="4382" width="12.85546875" style="191" bestFit="1" customWidth="1"/>
    <col min="4383" max="4383" width="13.85546875" style="191" bestFit="1" customWidth="1"/>
    <col min="4384" max="4384" width="11.7109375" style="191" bestFit="1" customWidth="1"/>
    <col min="4385" max="4385" width="12.28515625" style="191" customWidth="1"/>
    <col min="4386" max="4608" width="11.42578125" style="191"/>
    <col min="4609" max="4609" width="0" style="191" hidden="1" customWidth="1"/>
    <col min="4610" max="4610" width="19" style="191" bestFit="1" customWidth="1"/>
    <col min="4611" max="4613" width="0" style="191" hidden="1" customWidth="1"/>
    <col min="4614" max="4614" width="44" style="191" customWidth="1"/>
    <col min="4615" max="4616" width="15.7109375" style="191" customWidth="1"/>
    <col min="4617" max="4617" width="16.28515625" style="191" customWidth="1"/>
    <col min="4618" max="4618" width="12.85546875" style="191" bestFit="1" customWidth="1"/>
    <col min="4619" max="4619" width="13.5703125" style="191" customWidth="1"/>
    <col min="4620" max="4631" width="12.85546875" style="191" bestFit="1" customWidth="1"/>
    <col min="4632" max="4632" width="14" style="191" customWidth="1"/>
    <col min="4633" max="4638" width="12.85546875" style="191" bestFit="1" customWidth="1"/>
    <col min="4639" max="4639" width="13.85546875" style="191" bestFit="1" customWidth="1"/>
    <col min="4640" max="4640" width="11.7109375" style="191" bestFit="1" customWidth="1"/>
    <col min="4641" max="4641" width="12.28515625" style="191" customWidth="1"/>
    <col min="4642" max="4864" width="11.42578125" style="191"/>
    <col min="4865" max="4865" width="0" style="191" hidden="1" customWidth="1"/>
    <col min="4866" max="4866" width="19" style="191" bestFit="1" customWidth="1"/>
    <col min="4867" max="4869" width="0" style="191" hidden="1" customWidth="1"/>
    <col min="4870" max="4870" width="44" style="191" customWidth="1"/>
    <col min="4871" max="4872" width="15.7109375" style="191" customWidth="1"/>
    <col min="4873" max="4873" width="16.28515625" style="191" customWidth="1"/>
    <col min="4874" max="4874" width="12.85546875" style="191" bestFit="1" customWidth="1"/>
    <col min="4875" max="4875" width="13.5703125" style="191" customWidth="1"/>
    <col min="4876" max="4887" width="12.85546875" style="191" bestFit="1" customWidth="1"/>
    <col min="4888" max="4888" width="14" style="191" customWidth="1"/>
    <col min="4889" max="4894" width="12.85546875" style="191" bestFit="1" customWidth="1"/>
    <col min="4895" max="4895" width="13.85546875" style="191" bestFit="1" customWidth="1"/>
    <col min="4896" max="4896" width="11.7109375" style="191" bestFit="1" customWidth="1"/>
    <col min="4897" max="4897" width="12.28515625" style="191" customWidth="1"/>
    <col min="4898" max="5120" width="11.42578125" style="191"/>
    <col min="5121" max="5121" width="0" style="191" hidden="1" customWidth="1"/>
    <col min="5122" max="5122" width="19" style="191" bestFit="1" customWidth="1"/>
    <col min="5123" max="5125" width="0" style="191" hidden="1" customWidth="1"/>
    <col min="5126" max="5126" width="44" style="191" customWidth="1"/>
    <col min="5127" max="5128" width="15.7109375" style="191" customWidth="1"/>
    <col min="5129" max="5129" width="16.28515625" style="191" customWidth="1"/>
    <col min="5130" max="5130" width="12.85546875" style="191" bestFit="1" customWidth="1"/>
    <col min="5131" max="5131" width="13.5703125" style="191" customWidth="1"/>
    <col min="5132" max="5143" width="12.85546875" style="191" bestFit="1" customWidth="1"/>
    <col min="5144" max="5144" width="14" style="191" customWidth="1"/>
    <col min="5145" max="5150" width="12.85546875" style="191" bestFit="1" customWidth="1"/>
    <col min="5151" max="5151" width="13.85546875" style="191" bestFit="1" customWidth="1"/>
    <col min="5152" max="5152" width="11.7109375" style="191" bestFit="1" customWidth="1"/>
    <col min="5153" max="5153" width="12.28515625" style="191" customWidth="1"/>
    <col min="5154" max="5376" width="11.42578125" style="191"/>
    <col min="5377" max="5377" width="0" style="191" hidden="1" customWidth="1"/>
    <col min="5378" max="5378" width="19" style="191" bestFit="1" customWidth="1"/>
    <col min="5379" max="5381" width="0" style="191" hidden="1" customWidth="1"/>
    <col min="5382" max="5382" width="44" style="191" customWidth="1"/>
    <col min="5383" max="5384" width="15.7109375" style="191" customWidth="1"/>
    <col min="5385" max="5385" width="16.28515625" style="191" customWidth="1"/>
    <col min="5386" max="5386" width="12.85546875" style="191" bestFit="1" customWidth="1"/>
    <col min="5387" max="5387" width="13.5703125" style="191" customWidth="1"/>
    <col min="5388" max="5399" width="12.85546875" style="191" bestFit="1" customWidth="1"/>
    <col min="5400" max="5400" width="14" style="191" customWidth="1"/>
    <col min="5401" max="5406" width="12.85546875" style="191" bestFit="1" customWidth="1"/>
    <col min="5407" max="5407" width="13.85546875" style="191" bestFit="1" customWidth="1"/>
    <col min="5408" max="5408" width="11.7109375" style="191" bestFit="1" customWidth="1"/>
    <col min="5409" max="5409" width="12.28515625" style="191" customWidth="1"/>
    <col min="5410" max="5632" width="11.42578125" style="191"/>
    <col min="5633" max="5633" width="0" style="191" hidden="1" customWidth="1"/>
    <col min="5634" max="5634" width="19" style="191" bestFit="1" customWidth="1"/>
    <col min="5635" max="5637" width="0" style="191" hidden="1" customWidth="1"/>
    <col min="5638" max="5638" width="44" style="191" customWidth="1"/>
    <col min="5639" max="5640" width="15.7109375" style="191" customWidth="1"/>
    <col min="5641" max="5641" width="16.28515625" style="191" customWidth="1"/>
    <col min="5642" max="5642" width="12.85546875" style="191" bestFit="1" customWidth="1"/>
    <col min="5643" max="5643" width="13.5703125" style="191" customWidth="1"/>
    <col min="5644" max="5655" width="12.85546875" style="191" bestFit="1" customWidth="1"/>
    <col min="5656" max="5656" width="14" style="191" customWidth="1"/>
    <col min="5657" max="5662" width="12.85546875" style="191" bestFit="1" customWidth="1"/>
    <col min="5663" max="5663" width="13.85546875" style="191" bestFit="1" customWidth="1"/>
    <col min="5664" max="5664" width="11.7109375" style="191" bestFit="1" customWidth="1"/>
    <col min="5665" max="5665" width="12.28515625" style="191" customWidth="1"/>
    <col min="5666" max="5888" width="11.42578125" style="191"/>
    <col min="5889" max="5889" width="0" style="191" hidden="1" customWidth="1"/>
    <col min="5890" max="5890" width="19" style="191" bestFit="1" customWidth="1"/>
    <col min="5891" max="5893" width="0" style="191" hidden="1" customWidth="1"/>
    <col min="5894" max="5894" width="44" style="191" customWidth="1"/>
    <col min="5895" max="5896" width="15.7109375" style="191" customWidth="1"/>
    <col min="5897" max="5897" width="16.28515625" style="191" customWidth="1"/>
    <col min="5898" max="5898" width="12.85546875" style="191" bestFit="1" customWidth="1"/>
    <col min="5899" max="5899" width="13.5703125" style="191" customWidth="1"/>
    <col min="5900" max="5911" width="12.85546875" style="191" bestFit="1" customWidth="1"/>
    <col min="5912" max="5912" width="14" style="191" customWidth="1"/>
    <col min="5913" max="5918" width="12.85546875" style="191" bestFit="1" customWidth="1"/>
    <col min="5919" max="5919" width="13.85546875" style="191" bestFit="1" customWidth="1"/>
    <col min="5920" max="5920" width="11.7109375" style="191" bestFit="1" customWidth="1"/>
    <col min="5921" max="5921" width="12.28515625" style="191" customWidth="1"/>
    <col min="5922" max="6144" width="11.42578125" style="191"/>
    <col min="6145" max="6145" width="0" style="191" hidden="1" customWidth="1"/>
    <col min="6146" max="6146" width="19" style="191" bestFit="1" customWidth="1"/>
    <col min="6147" max="6149" width="0" style="191" hidden="1" customWidth="1"/>
    <col min="6150" max="6150" width="44" style="191" customWidth="1"/>
    <col min="6151" max="6152" width="15.7109375" style="191" customWidth="1"/>
    <col min="6153" max="6153" width="16.28515625" style="191" customWidth="1"/>
    <col min="6154" max="6154" width="12.85546875" style="191" bestFit="1" customWidth="1"/>
    <col min="6155" max="6155" width="13.5703125" style="191" customWidth="1"/>
    <col min="6156" max="6167" width="12.85546875" style="191" bestFit="1" customWidth="1"/>
    <col min="6168" max="6168" width="14" style="191" customWidth="1"/>
    <col min="6169" max="6174" width="12.85546875" style="191" bestFit="1" customWidth="1"/>
    <col min="6175" max="6175" width="13.85546875" style="191" bestFit="1" customWidth="1"/>
    <col min="6176" max="6176" width="11.7109375" style="191" bestFit="1" customWidth="1"/>
    <col min="6177" max="6177" width="12.28515625" style="191" customWidth="1"/>
    <col min="6178" max="6400" width="11.42578125" style="191"/>
    <col min="6401" max="6401" width="0" style="191" hidden="1" customWidth="1"/>
    <col min="6402" max="6402" width="19" style="191" bestFit="1" customWidth="1"/>
    <col min="6403" max="6405" width="0" style="191" hidden="1" customWidth="1"/>
    <col min="6406" max="6406" width="44" style="191" customWidth="1"/>
    <col min="6407" max="6408" width="15.7109375" style="191" customWidth="1"/>
    <col min="6409" max="6409" width="16.28515625" style="191" customWidth="1"/>
    <col min="6410" max="6410" width="12.85546875" style="191" bestFit="1" customWidth="1"/>
    <col min="6411" max="6411" width="13.5703125" style="191" customWidth="1"/>
    <col min="6412" max="6423" width="12.85546875" style="191" bestFit="1" customWidth="1"/>
    <col min="6424" max="6424" width="14" style="191" customWidth="1"/>
    <col min="6425" max="6430" width="12.85546875" style="191" bestFit="1" customWidth="1"/>
    <col min="6431" max="6431" width="13.85546875" style="191" bestFit="1" customWidth="1"/>
    <col min="6432" max="6432" width="11.7109375" style="191" bestFit="1" customWidth="1"/>
    <col min="6433" max="6433" width="12.28515625" style="191" customWidth="1"/>
    <col min="6434" max="6656" width="11.42578125" style="191"/>
    <col min="6657" max="6657" width="0" style="191" hidden="1" customWidth="1"/>
    <col min="6658" max="6658" width="19" style="191" bestFit="1" customWidth="1"/>
    <col min="6659" max="6661" width="0" style="191" hidden="1" customWidth="1"/>
    <col min="6662" max="6662" width="44" style="191" customWidth="1"/>
    <col min="6663" max="6664" width="15.7109375" style="191" customWidth="1"/>
    <col min="6665" max="6665" width="16.28515625" style="191" customWidth="1"/>
    <col min="6666" max="6666" width="12.85546875" style="191" bestFit="1" customWidth="1"/>
    <col min="6667" max="6667" width="13.5703125" style="191" customWidth="1"/>
    <col min="6668" max="6679" width="12.85546875" style="191" bestFit="1" customWidth="1"/>
    <col min="6680" max="6680" width="14" style="191" customWidth="1"/>
    <col min="6681" max="6686" width="12.85546875" style="191" bestFit="1" customWidth="1"/>
    <col min="6687" max="6687" width="13.85546875" style="191" bestFit="1" customWidth="1"/>
    <col min="6688" max="6688" width="11.7109375" style="191" bestFit="1" customWidth="1"/>
    <col min="6689" max="6689" width="12.28515625" style="191" customWidth="1"/>
    <col min="6690" max="6912" width="11.42578125" style="191"/>
    <col min="6913" max="6913" width="0" style="191" hidden="1" customWidth="1"/>
    <col min="6914" max="6914" width="19" style="191" bestFit="1" customWidth="1"/>
    <col min="6915" max="6917" width="0" style="191" hidden="1" customWidth="1"/>
    <col min="6918" max="6918" width="44" style="191" customWidth="1"/>
    <col min="6919" max="6920" width="15.7109375" style="191" customWidth="1"/>
    <col min="6921" max="6921" width="16.28515625" style="191" customWidth="1"/>
    <col min="6922" max="6922" width="12.85546875" style="191" bestFit="1" customWidth="1"/>
    <col min="6923" max="6923" width="13.5703125" style="191" customWidth="1"/>
    <col min="6924" max="6935" width="12.85546875" style="191" bestFit="1" customWidth="1"/>
    <col min="6936" max="6936" width="14" style="191" customWidth="1"/>
    <col min="6937" max="6942" width="12.85546875" style="191" bestFit="1" customWidth="1"/>
    <col min="6943" max="6943" width="13.85546875" style="191" bestFit="1" customWidth="1"/>
    <col min="6944" max="6944" width="11.7109375" style="191" bestFit="1" customWidth="1"/>
    <col min="6945" max="6945" width="12.28515625" style="191" customWidth="1"/>
    <col min="6946" max="7168" width="11.42578125" style="191"/>
    <col min="7169" max="7169" width="0" style="191" hidden="1" customWidth="1"/>
    <col min="7170" max="7170" width="19" style="191" bestFit="1" customWidth="1"/>
    <col min="7171" max="7173" width="0" style="191" hidden="1" customWidth="1"/>
    <col min="7174" max="7174" width="44" style="191" customWidth="1"/>
    <col min="7175" max="7176" width="15.7109375" style="191" customWidth="1"/>
    <col min="7177" max="7177" width="16.28515625" style="191" customWidth="1"/>
    <col min="7178" max="7178" width="12.85546875" style="191" bestFit="1" customWidth="1"/>
    <col min="7179" max="7179" width="13.5703125" style="191" customWidth="1"/>
    <col min="7180" max="7191" width="12.85546875" style="191" bestFit="1" customWidth="1"/>
    <col min="7192" max="7192" width="14" style="191" customWidth="1"/>
    <col min="7193" max="7198" width="12.85546875" style="191" bestFit="1" customWidth="1"/>
    <col min="7199" max="7199" width="13.85546875" style="191" bestFit="1" customWidth="1"/>
    <col min="7200" max="7200" width="11.7109375" style="191" bestFit="1" customWidth="1"/>
    <col min="7201" max="7201" width="12.28515625" style="191" customWidth="1"/>
    <col min="7202" max="7424" width="11.42578125" style="191"/>
    <col min="7425" max="7425" width="0" style="191" hidden="1" customWidth="1"/>
    <col min="7426" max="7426" width="19" style="191" bestFit="1" customWidth="1"/>
    <col min="7427" max="7429" width="0" style="191" hidden="1" customWidth="1"/>
    <col min="7430" max="7430" width="44" style="191" customWidth="1"/>
    <col min="7431" max="7432" width="15.7109375" style="191" customWidth="1"/>
    <col min="7433" max="7433" width="16.28515625" style="191" customWidth="1"/>
    <col min="7434" max="7434" width="12.85546875" style="191" bestFit="1" customWidth="1"/>
    <col min="7435" max="7435" width="13.5703125" style="191" customWidth="1"/>
    <col min="7436" max="7447" width="12.85546875" style="191" bestFit="1" customWidth="1"/>
    <col min="7448" max="7448" width="14" style="191" customWidth="1"/>
    <col min="7449" max="7454" width="12.85546875" style="191" bestFit="1" customWidth="1"/>
    <col min="7455" max="7455" width="13.85546875" style="191" bestFit="1" customWidth="1"/>
    <col min="7456" max="7456" width="11.7109375" style="191" bestFit="1" customWidth="1"/>
    <col min="7457" max="7457" width="12.28515625" style="191" customWidth="1"/>
    <col min="7458" max="7680" width="11.42578125" style="191"/>
    <col min="7681" max="7681" width="0" style="191" hidden="1" customWidth="1"/>
    <col min="7682" max="7682" width="19" style="191" bestFit="1" customWidth="1"/>
    <col min="7683" max="7685" width="0" style="191" hidden="1" customWidth="1"/>
    <col min="7686" max="7686" width="44" style="191" customWidth="1"/>
    <col min="7687" max="7688" width="15.7109375" style="191" customWidth="1"/>
    <col min="7689" max="7689" width="16.28515625" style="191" customWidth="1"/>
    <col min="7690" max="7690" width="12.85546875" style="191" bestFit="1" customWidth="1"/>
    <col min="7691" max="7691" width="13.5703125" style="191" customWidth="1"/>
    <col min="7692" max="7703" width="12.85546875" style="191" bestFit="1" customWidth="1"/>
    <col min="7704" max="7704" width="14" style="191" customWidth="1"/>
    <col min="7705" max="7710" width="12.85546875" style="191" bestFit="1" customWidth="1"/>
    <col min="7711" max="7711" width="13.85546875" style="191" bestFit="1" customWidth="1"/>
    <col min="7712" max="7712" width="11.7109375" style="191" bestFit="1" customWidth="1"/>
    <col min="7713" max="7713" width="12.28515625" style="191" customWidth="1"/>
    <col min="7714" max="7936" width="11.42578125" style="191"/>
    <col min="7937" max="7937" width="0" style="191" hidden="1" customWidth="1"/>
    <col min="7938" max="7938" width="19" style="191" bestFit="1" customWidth="1"/>
    <col min="7939" max="7941" width="0" style="191" hidden="1" customWidth="1"/>
    <col min="7942" max="7942" width="44" style="191" customWidth="1"/>
    <col min="7943" max="7944" width="15.7109375" style="191" customWidth="1"/>
    <col min="7945" max="7945" width="16.28515625" style="191" customWidth="1"/>
    <col min="7946" max="7946" width="12.85546875" style="191" bestFit="1" customWidth="1"/>
    <col min="7947" max="7947" width="13.5703125" style="191" customWidth="1"/>
    <col min="7948" max="7959" width="12.85546875" style="191" bestFit="1" customWidth="1"/>
    <col min="7960" max="7960" width="14" style="191" customWidth="1"/>
    <col min="7961" max="7966" width="12.85546875" style="191" bestFit="1" customWidth="1"/>
    <col min="7967" max="7967" width="13.85546875" style="191" bestFit="1" customWidth="1"/>
    <col min="7968" max="7968" width="11.7109375" style="191" bestFit="1" customWidth="1"/>
    <col min="7969" max="7969" width="12.28515625" style="191" customWidth="1"/>
    <col min="7970" max="8192" width="11.42578125" style="191"/>
    <col min="8193" max="8193" width="0" style="191" hidden="1" customWidth="1"/>
    <col min="8194" max="8194" width="19" style="191" bestFit="1" customWidth="1"/>
    <col min="8195" max="8197" width="0" style="191" hidden="1" customWidth="1"/>
    <col min="8198" max="8198" width="44" style="191" customWidth="1"/>
    <col min="8199" max="8200" width="15.7109375" style="191" customWidth="1"/>
    <col min="8201" max="8201" width="16.28515625" style="191" customWidth="1"/>
    <col min="8202" max="8202" width="12.85546875" style="191" bestFit="1" customWidth="1"/>
    <col min="8203" max="8203" width="13.5703125" style="191" customWidth="1"/>
    <col min="8204" max="8215" width="12.85546875" style="191" bestFit="1" customWidth="1"/>
    <col min="8216" max="8216" width="14" style="191" customWidth="1"/>
    <col min="8217" max="8222" width="12.85546875" style="191" bestFit="1" customWidth="1"/>
    <col min="8223" max="8223" width="13.85546875" style="191" bestFit="1" customWidth="1"/>
    <col min="8224" max="8224" width="11.7109375" style="191" bestFit="1" customWidth="1"/>
    <col min="8225" max="8225" width="12.28515625" style="191" customWidth="1"/>
    <col min="8226" max="8448" width="11.42578125" style="191"/>
    <col min="8449" max="8449" width="0" style="191" hidden="1" customWidth="1"/>
    <col min="8450" max="8450" width="19" style="191" bestFit="1" customWidth="1"/>
    <col min="8451" max="8453" width="0" style="191" hidden="1" customWidth="1"/>
    <col min="8454" max="8454" width="44" style="191" customWidth="1"/>
    <col min="8455" max="8456" width="15.7109375" style="191" customWidth="1"/>
    <col min="8457" max="8457" width="16.28515625" style="191" customWidth="1"/>
    <col min="8458" max="8458" width="12.85546875" style="191" bestFit="1" customWidth="1"/>
    <col min="8459" max="8459" width="13.5703125" style="191" customWidth="1"/>
    <col min="8460" max="8471" width="12.85546875" style="191" bestFit="1" customWidth="1"/>
    <col min="8472" max="8472" width="14" style="191" customWidth="1"/>
    <col min="8473" max="8478" width="12.85546875" style="191" bestFit="1" customWidth="1"/>
    <col min="8479" max="8479" width="13.85546875" style="191" bestFit="1" customWidth="1"/>
    <col min="8480" max="8480" width="11.7109375" style="191" bestFit="1" customWidth="1"/>
    <col min="8481" max="8481" width="12.28515625" style="191" customWidth="1"/>
    <col min="8482" max="8704" width="11.42578125" style="191"/>
    <col min="8705" max="8705" width="0" style="191" hidden="1" customWidth="1"/>
    <col min="8706" max="8706" width="19" style="191" bestFit="1" customWidth="1"/>
    <col min="8707" max="8709" width="0" style="191" hidden="1" customWidth="1"/>
    <col min="8710" max="8710" width="44" style="191" customWidth="1"/>
    <col min="8711" max="8712" width="15.7109375" style="191" customWidth="1"/>
    <col min="8713" max="8713" width="16.28515625" style="191" customWidth="1"/>
    <col min="8714" max="8714" width="12.85546875" style="191" bestFit="1" customWidth="1"/>
    <col min="8715" max="8715" width="13.5703125" style="191" customWidth="1"/>
    <col min="8716" max="8727" width="12.85546875" style="191" bestFit="1" customWidth="1"/>
    <col min="8728" max="8728" width="14" style="191" customWidth="1"/>
    <col min="8729" max="8734" width="12.85546875" style="191" bestFit="1" customWidth="1"/>
    <col min="8735" max="8735" width="13.85546875" style="191" bestFit="1" customWidth="1"/>
    <col min="8736" max="8736" width="11.7109375" style="191" bestFit="1" customWidth="1"/>
    <col min="8737" max="8737" width="12.28515625" style="191" customWidth="1"/>
    <col min="8738" max="8960" width="11.42578125" style="191"/>
    <col min="8961" max="8961" width="0" style="191" hidden="1" customWidth="1"/>
    <col min="8962" max="8962" width="19" style="191" bestFit="1" customWidth="1"/>
    <col min="8963" max="8965" width="0" style="191" hidden="1" customWidth="1"/>
    <col min="8966" max="8966" width="44" style="191" customWidth="1"/>
    <col min="8967" max="8968" width="15.7109375" style="191" customWidth="1"/>
    <col min="8969" max="8969" width="16.28515625" style="191" customWidth="1"/>
    <col min="8970" max="8970" width="12.85546875" style="191" bestFit="1" customWidth="1"/>
    <col min="8971" max="8971" width="13.5703125" style="191" customWidth="1"/>
    <col min="8972" max="8983" width="12.85546875" style="191" bestFit="1" customWidth="1"/>
    <col min="8984" max="8984" width="14" style="191" customWidth="1"/>
    <col min="8985" max="8990" width="12.85546875" style="191" bestFit="1" customWidth="1"/>
    <col min="8991" max="8991" width="13.85546875" style="191" bestFit="1" customWidth="1"/>
    <col min="8992" max="8992" width="11.7109375" style="191" bestFit="1" customWidth="1"/>
    <col min="8993" max="8993" width="12.28515625" style="191" customWidth="1"/>
    <col min="8994" max="9216" width="11.42578125" style="191"/>
    <col min="9217" max="9217" width="0" style="191" hidden="1" customWidth="1"/>
    <col min="9218" max="9218" width="19" style="191" bestFit="1" customWidth="1"/>
    <col min="9219" max="9221" width="0" style="191" hidden="1" customWidth="1"/>
    <col min="9222" max="9222" width="44" style="191" customWidth="1"/>
    <col min="9223" max="9224" width="15.7109375" style="191" customWidth="1"/>
    <col min="9225" max="9225" width="16.28515625" style="191" customWidth="1"/>
    <col min="9226" max="9226" width="12.85546875" style="191" bestFit="1" customWidth="1"/>
    <col min="9227" max="9227" width="13.5703125" style="191" customWidth="1"/>
    <col min="9228" max="9239" width="12.85546875" style="191" bestFit="1" customWidth="1"/>
    <col min="9240" max="9240" width="14" style="191" customWidth="1"/>
    <col min="9241" max="9246" width="12.85546875" style="191" bestFit="1" customWidth="1"/>
    <col min="9247" max="9247" width="13.85546875" style="191" bestFit="1" customWidth="1"/>
    <col min="9248" max="9248" width="11.7109375" style="191" bestFit="1" customWidth="1"/>
    <col min="9249" max="9249" width="12.28515625" style="191" customWidth="1"/>
    <col min="9250" max="9472" width="11.42578125" style="191"/>
    <col min="9473" max="9473" width="0" style="191" hidden="1" customWidth="1"/>
    <col min="9474" max="9474" width="19" style="191" bestFit="1" customWidth="1"/>
    <col min="9475" max="9477" width="0" style="191" hidden="1" customWidth="1"/>
    <col min="9478" max="9478" width="44" style="191" customWidth="1"/>
    <col min="9479" max="9480" width="15.7109375" style="191" customWidth="1"/>
    <col min="9481" max="9481" width="16.28515625" style="191" customWidth="1"/>
    <col min="9482" max="9482" width="12.85546875" style="191" bestFit="1" customWidth="1"/>
    <col min="9483" max="9483" width="13.5703125" style="191" customWidth="1"/>
    <col min="9484" max="9495" width="12.85546875" style="191" bestFit="1" customWidth="1"/>
    <col min="9496" max="9496" width="14" style="191" customWidth="1"/>
    <col min="9497" max="9502" width="12.85546875" style="191" bestFit="1" customWidth="1"/>
    <col min="9503" max="9503" width="13.85546875" style="191" bestFit="1" customWidth="1"/>
    <col min="9504" max="9504" width="11.7109375" style="191" bestFit="1" customWidth="1"/>
    <col min="9505" max="9505" width="12.28515625" style="191" customWidth="1"/>
    <col min="9506" max="9728" width="11.42578125" style="191"/>
    <col min="9729" max="9729" width="0" style="191" hidden="1" customWidth="1"/>
    <col min="9730" max="9730" width="19" style="191" bestFit="1" customWidth="1"/>
    <col min="9731" max="9733" width="0" style="191" hidden="1" customWidth="1"/>
    <col min="9734" max="9734" width="44" style="191" customWidth="1"/>
    <col min="9735" max="9736" width="15.7109375" style="191" customWidth="1"/>
    <col min="9737" max="9737" width="16.28515625" style="191" customWidth="1"/>
    <col min="9738" max="9738" width="12.85546875" style="191" bestFit="1" customWidth="1"/>
    <col min="9739" max="9739" width="13.5703125" style="191" customWidth="1"/>
    <col min="9740" max="9751" width="12.85546875" style="191" bestFit="1" customWidth="1"/>
    <col min="9752" max="9752" width="14" style="191" customWidth="1"/>
    <col min="9753" max="9758" width="12.85546875" style="191" bestFit="1" customWidth="1"/>
    <col min="9759" max="9759" width="13.85546875" style="191" bestFit="1" customWidth="1"/>
    <col min="9760" max="9760" width="11.7109375" style="191" bestFit="1" customWidth="1"/>
    <col min="9761" max="9761" width="12.28515625" style="191" customWidth="1"/>
    <col min="9762" max="9984" width="11.42578125" style="191"/>
    <col min="9985" max="9985" width="0" style="191" hidden="1" customWidth="1"/>
    <col min="9986" max="9986" width="19" style="191" bestFit="1" customWidth="1"/>
    <col min="9987" max="9989" width="0" style="191" hidden="1" customWidth="1"/>
    <col min="9990" max="9990" width="44" style="191" customWidth="1"/>
    <col min="9991" max="9992" width="15.7109375" style="191" customWidth="1"/>
    <col min="9993" max="9993" width="16.28515625" style="191" customWidth="1"/>
    <col min="9994" max="9994" width="12.85546875" style="191" bestFit="1" customWidth="1"/>
    <col min="9995" max="9995" width="13.5703125" style="191" customWidth="1"/>
    <col min="9996" max="10007" width="12.85546875" style="191" bestFit="1" customWidth="1"/>
    <col min="10008" max="10008" width="14" style="191" customWidth="1"/>
    <col min="10009" max="10014" width="12.85546875" style="191" bestFit="1" customWidth="1"/>
    <col min="10015" max="10015" width="13.85546875" style="191" bestFit="1" customWidth="1"/>
    <col min="10016" max="10016" width="11.7109375" style="191" bestFit="1" customWidth="1"/>
    <col min="10017" max="10017" width="12.28515625" style="191" customWidth="1"/>
    <col min="10018" max="10240" width="11.42578125" style="191"/>
    <col min="10241" max="10241" width="0" style="191" hidden="1" customWidth="1"/>
    <col min="10242" max="10242" width="19" style="191" bestFit="1" customWidth="1"/>
    <col min="10243" max="10245" width="0" style="191" hidden="1" customWidth="1"/>
    <col min="10246" max="10246" width="44" style="191" customWidth="1"/>
    <col min="10247" max="10248" width="15.7109375" style="191" customWidth="1"/>
    <col min="10249" max="10249" width="16.28515625" style="191" customWidth="1"/>
    <col min="10250" max="10250" width="12.85546875" style="191" bestFit="1" customWidth="1"/>
    <col min="10251" max="10251" width="13.5703125" style="191" customWidth="1"/>
    <col min="10252" max="10263" width="12.85546875" style="191" bestFit="1" customWidth="1"/>
    <col min="10264" max="10264" width="14" style="191" customWidth="1"/>
    <col min="10265" max="10270" width="12.85546875" style="191" bestFit="1" customWidth="1"/>
    <col min="10271" max="10271" width="13.85546875" style="191" bestFit="1" customWidth="1"/>
    <col min="10272" max="10272" width="11.7109375" style="191" bestFit="1" customWidth="1"/>
    <col min="10273" max="10273" width="12.28515625" style="191" customWidth="1"/>
    <col min="10274" max="10496" width="11.42578125" style="191"/>
    <col min="10497" max="10497" width="0" style="191" hidden="1" customWidth="1"/>
    <col min="10498" max="10498" width="19" style="191" bestFit="1" customWidth="1"/>
    <col min="10499" max="10501" width="0" style="191" hidden="1" customWidth="1"/>
    <col min="10502" max="10502" width="44" style="191" customWidth="1"/>
    <col min="10503" max="10504" width="15.7109375" style="191" customWidth="1"/>
    <col min="10505" max="10505" width="16.28515625" style="191" customWidth="1"/>
    <col min="10506" max="10506" width="12.85546875" style="191" bestFit="1" customWidth="1"/>
    <col min="10507" max="10507" width="13.5703125" style="191" customWidth="1"/>
    <col min="10508" max="10519" width="12.85546875" style="191" bestFit="1" customWidth="1"/>
    <col min="10520" max="10520" width="14" style="191" customWidth="1"/>
    <col min="10521" max="10526" width="12.85546875" style="191" bestFit="1" customWidth="1"/>
    <col min="10527" max="10527" width="13.85546875" style="191" bestFit="1" customWidth="1"/>
    <col min="10528" max="10528" width="11.7109375" style="191" bestFit="1" customWidth="1"/>
    <col min="10529" max="10529" width="12.28515625" style="191" customWidth="1"/>
    <col min="10530" max="10752" width="11.42578125" style="191"/>
    <col min="10753" max="10753" width="0" style="191" hidden="1" customWidth="1"/>
    <col min="10754" max="10754" width="19" style="191" bestFit="1" customWidth="1"/>
    <col min="10755" max="10757" width="0" style="191" hidden="1" customWidth="1"/>
    <col min="10758" max="10758" width="44" style="191" customWidth="1"/>
    <col min="10759" max="10760" width="15.7109375" style="191" customWidth="1"/>
    <col min="10761" max="10761" width="16.28515625" style="191" customWidth="1"/>
    <col min="10762" max="10762" width="12.85546875" style="191" bestFit="1" customWidth="1"/>
    <col min="10763" max="10763" width="13.5703125" style="191" customWidth="1"/>
    <col min="10764" max="10775" width="12.85546875" style="191" bestFit="1" customWidth="1"/>
    <col min="10776" max="10776" width="14" style="191" customWidth="1"/>
    <col min="10777" max="10782" width="12.85546875" style="191" bestFit="1" customWidth="1"/>
    <col min="10783" max="10783" width="13.85546875" style="191" bestFit="1" customWidth="1"/>
    <col min="10784" max="10784" width="11.7109375" style="191" bestFit="1" customWidth="1"/>
    <col min="10785" max="10785" width="12.28515625" style="191" customWidth="1"/>
    <col min="10786" max="11008" width="11.42578125" style="191"/>
    <col min="11009" max="11009" width="0" style="191" hidden="1" customWidth="1"/>
    <col min="11010" max="11010" width="19" style="191" bestFit="1" customWidth="1"/>
    <col min="11011" max="11013" width="0" style="191" hidden="1" customWidth="1"/>
    <col min="11014" max="11014" width="44" style="191" customWidth="1"/>
    <col min="11015" max="11016" width="15.7109375" style="191" customWidth="1"/>
    <col min="11017" max="11017" width="16.28515625" style="191" customWidth="1"/>
    <col min="11018" max="11018" width="12.85546875" style="191" bestFit="1" customWidth="1"/>
    <col min="11019" max="11019" width="13.5703125" style="191" customWidth="1"/>
    <col min="11020" max="11031" width="12.85546875" style="191" bestFit="1" customWidth="1"/>
    <col min="11032" max="11032" width="14" style="191" customWidth="1"/>
    <col min="11033" max="11038" width="12.85546875" style="191" bestFit="1" customWidth="1"/>
    <col min="11039" max="11039" width="13.85546875" style="191" bestFit="1" customWidth="1"/>
    <col min="11040" max="11040" width="11.7109375" style="191" bestFit="1" customWidth="1"/>
    <col min="11041" max="11041" width="12.28515625" style="191" customWidth="1"/>
    <col min="11042" max="11264" width="11.42578125" style="191"/>
    <col min="11265" max="11265" width="0" style="191" hidden="1" customWidth="1"/>
    <col min="11266" max="11266" width="19" style="191" bestFit="1" customWidth="1"/>
    <col min="11267" max="11269" width="0" style="191" hidden="1" customWidth="1"/>
    <col min="11270" max="11270" width="44" style="191" customWidth="1"/>
    <col min="11271" max="11272" width="15.7109375" style="191" customWidth="1"/>
    <col min="11273" max="11273" width="16.28515625" style="191" customWidth="1"/>
    <col min="11274" max="11274" width="12.85546875" style="191" bestFit="1" customWidth="1"/>
    <col min="11275" max="11275" width="13.5703125" style="191" customWidth="1"/>
    <col min="11276" max="11287" width="12.85546875" style="191" bestFit="1" customWidth="1"/>
    <col min="11288" max="11288" width="14" style="191" customWidth="1"/>
    <col min="11289" max="11294" width="12.85546875" style="191" bestFit="1" customWidth="1"/>
    <col min="11295" max="11295" width="13.85546875" style="191" bestFit="1" customWidth="1"/>
    <col min="11296" max="11296" width="11.7109375" style="191" bestFit="1" customWidth="1"/>
    <col min="11297" max="11297" width="12.28515625" style="191" customWidth="1"/>
    <col min="11298" max="11520" width="11.42578125" style="191"/>
    <col min="11521" max="11521" width="0" style="191" hidden="1" customWidth="1"/>
    <col min="11522" max="11522" width="19" style="191" bestFit="1" customWidth="1"/>
    <col min="11523" max="11525" width="0" style="191" hidden="1" customWidth="1"/>
    <col min="11526" max="11526" width="44" style="191" customWidth="1"/>
    <col min="11527" max="11528" width="15.7109375" style="191" customWidth="1"/>
    <col min="11529" max="11529" width="16.28515625" style="191" customWidth="1"/>
    <col min="11530" max="11530" width="12.85546875" style="191" bestFit="1" customWidth="1"/>
    <col min="11531" max="11531" width="13.5703125" style="191" customWidth="1"/>
    <col min="11532" max="11543" width="12.85546875" style="191" bestFit="1" customWidth="1"/>
    <col min="11544" max="11544" width="14" style="191" customWidth="1"/>
    <col min="11545" max="11550" width="12.85546875" style="191" bestFit="1" customWidth="1"/>
    <col min="11551" max="11551" width="13.85546875" style="191" bestFit="1" customWidth="1"/>
    <col min="11552" max="11552" width="11.7109375" style="191" bestFit="1" customWidth="1"/>
    <col min="11553" max="11553" width="12.28515625" style="191" customWidth="1"/>
    <col min="11554" max="11776" width="11.42578125" style="191"/>
    <col min="11777" max="11777" width="0" style="191" hidden="1" customWidth="1"/>
    <col min="11778" max="11778" width="19" style="191" bestFit="1" customWidth="1"/>
    <col min="11779" max="11781" width="0" style="191" hidden="1" customWidth="1"/>
    <col min="11782" max="11782" width="44" style="191" customWidth="1"/>
    <col min="11783" max="11784" width="15.7109375" style="191" customWidth="1"/>
    <col min="11785" max="11785" width="16.28515625" style="191" customWidth="1"/>
    <col min="11786" max="11786" width="12.85546875" style="191" bestFit="1" customWidth="1"/>
    <col min="11787" max="11787" width="13.5703125" style="191" customWidth="1"/>
    <col min="11788" max="11799" width="12.85546875" style="191" bestFit="1" customWidth="1"/>
    <col min="11800" max="11800" width="14" style="191" customWidth="1"/>
    <col min="11801" max="11806" width="12.85546875" style="191" bestFit="1" customWidth="1"/>
    <col min="11807" max="11807" width="13.85546875" style="191" bestFit="1" customWidth="1"/>
    <col min="11808" max="11808" width="11.7109375" style="191" bestFit="1" customWidth="1"/>
    <col min="11809" max="11809" width="12.28515625" style="191" customWidth="1"/>
    <col min="11810" max="12032" width="11.42578125" style="191"/>
    <col min="12033" max="12033" width="0" style="191" hidden="1" customWidth="1"/>
    <col min="12034" max="12034" width="19" style="191" bestFit="1" customWidth="1"/>
    <col min="12035" max="12037" width="0" style="191" hidden="1" customWidth="1"/>
    <col min="12038" max="12038" width="44" style="191" customWidth="1"/>
    <col min="12039" max="12040" width="15.7109375" style="191" customWidth="1"/>
    <col min="12041" max="12041" width="16.28515625" style="191" customWidth="1"/>
    <col min="12042" max="12042" width="12.85546875" style="191" bestFit="1" customWidth="1"/>
    <col min="12043" max="12043" width="13.5703125" style="191" customWidth="1"/>
    <col min="12044" max="12055" width="12.85546875" style="191" bestFit="1" customWidth="1"/>
    <col min="12056" max="12056" width="14" style="191" customWidth="1"/>
    <col min="12057" max="12062" width="12.85546875" style="191" bestFit="1" customWidth="1"/>
    <col min="12063" max="12063" width="13.85546875" style="191" bestFit="1" customWidth="1"/>
    <col min="12064" max="12064" width="11.7109375" style="191" bestFit="1" customWidth="1"/>
    <col min="12065" max="12065" width="12.28515625" style="191" customWidth="1"/>
    <col min="12066" max="12288" width="11.42578125" style="191"/>
    <col min="12289" max="12289" width="0" style="191" hidden="1" customWidth="1"/>
    <col min="12290" max="12290" width="19" style="191" bestFit="1" customWidth="1"/>
    <col min="12291" max="12293" width="0" style="191" hidden="1" customWidth="1"/>
    <col min="12294" max="12294" width="44" style="191" customWidth="1"/>
    <col min="12295" max="12296" width="15.7109375" style="191" customWidth="1"/>
    <col min="12297" max="12297" width="16.28515625" style="191" customWidth="1"/>
    <col min="12298" max="12298" width="12.85546875" style="191" bestFit="1" customWidth="1"/>
    <col min="12299" max="12299" width="13.5703125" style="191" customWidth="1"/>
    <col min="12300" max="12311" width="12.85546875" style="191" bestFit="1" customWidth="1"/>
    <col min="12312" max="12312" width="14" style="191" customWidth="1"/>
    <col min="12313" max="12318" width="12.85546875" style="191" bestFit="1" customWidth="1"/>
    <col min="12319" max="12319" width="13.85546875" style="191" bestFit="1" customWidth="1"/>
    <col min="12320" max="12320" width="11.7109375" style="191" bestFit="1" customWidth="1"/>
    <col min="12321" max="12321" width="12.28515625" style="191" customWidth="1"/>
    <col min="12322" max="12544" width="11.42578125" style="191"/>
    <col min="12545" max="12545" width="0" style="191" hidden="1" customWidth="1"/>
    <col min="12546" max="12546" width="19" style="191" bestFit="1" customWidth="1"/>
    <col min="12547" max="12549" width="0" style="191" hidden="1" customWidth="1"/>
    <col min="12550" max="12550" width="44" style="191" customWidth="1"/>
    <col min="12551" max="12552" width="15.7109375" style="191" customWidth="1"/>
    <col min="12553" max="12553" width="16.28515625" style="191" customWidth="1"/>
    <col min="12554" max="12554" width="12.85546875" style="191" bestFit="1" customWidth="1"/>
    <col min="12555" max="12555" width="13.5703125" style="191" customWidth="1"/>
    <col min="12556" max="12567" width="12.85546875" style="191" bestFit="1" customWidth="1"/>
    <col min="12568" max="12568" width="14" style="191" customWidth="1"/>
    <col min="12569" max="12574" width="12.85546875" style="191" bestFit="1" customWidth="1"/>
    <col min="12575" max="12575" width="13.85546875" style="191" bestFit="1" customWidth="1"/>
    <col min="12576" max="12576" width="11.7109375" style="191" bestFit="1" customWidth="1"/>
    <col min="12577" max="12577" width="12.28515625" style="191" customWidth="1"/>
    <col min="12578" max="12800" width="11.42578125" style="191"/>
    <col min="12801" max="12801" width="0" style="191" hidden="1" customWidth="1"/>
    <col min="12802" max="12802" width="19" style="191" bestFit="1" customWidth="1"/>
    <col min="12803" max="12805" width="0" style="191" hidden="1" customWidth="1"/>
    <col min="12806" max="12806" width="44" style="191" customWidth="1"/>
    <col min="12807" max="12808" width="15.7109375" style="191" customWidth="1"/>
    <col min="12809" max="12809" width="16.28515625" style="191" customWidth="1"/>
    <col min="12810" max="12810" width="12.85546875" style="191" bestFit="1" customWidth="1"/>
    <col min="12811" max="12811" width="13.5703125" style="191" customWidth="1"/>
    <col min="12812" max="12823" width="12.85546875" style="191" bestFit="1" customWidth="1"/>
    <col min="12824" max="12824" width="14" style="191" customWidth="1"/>
    <col min="12825" max="12830" width="12.85546875" style="191" bestFit="1" customWidth="1"/>
    <col min="12831" max="12831" width="13.85546875" style="191" bestFit="1" customWidth="1"/>
    <col min="12832" max="12832" width="11.7109375" style="191" bestFit="1" customWidth="1"/>
    <col min="12833" max="12833" width="12.28515625" style="191" customWidth="1"/>
    <col min="12834" max="13056" width="11.42578125" style="191"/>
    <col min="13057" max="13057" width="0" style="191" hidden="1" customWidth="1"/>
    <col min="13058" max="13058" width="19" style="191" bestFit="1" customWidth="1"/>
    <col min="13059" max="13061" width="0" style="191" hidden="1" customWidth="1"/>
    <col min="13062" max="13062" width="44" style="191" customWidth="1"/>
    <col min="13063" max="13064" width="15.7109375" style="191" customWidth="1"/>
    <col min="13065" max="13065" width="16.28515625" style="191" customWidth="1"/>
    <col min="13066" max="13066" width="12.85546875" style="191" bestFit="1" customWidth="1"/>
    <col min="13067" max="13067" width="13.5703125" style="191" customWidth="1"/>
    <col min="13068" max="13079" width="12.85546875" style="191" bestFit="1" customWidth="1"/>
    <col min="13080" max="13080" width="14" style="191" customWidth="1"/>
    <col min="13081" max="13086" width="12.85546875" style="191" bestFit="1" customWidth="1"/>
    <col min="13087" max="13087" width="13.85546875" style="191" bestFit="1" customWidth="1"/>
    <col min="13088" max="13088" width="11.7109375" style="191" bestFit="1" customWidth="1"/>
    <col min="13089" max="13089" width="12.28515625" style="191" customWidth="1"/>
    <col min="13090" max="13312" width="11.42578125" style="191"/>
    <col min="13313" max="13313" width="0" style="191" hidden="1" customWidth="1"/>
    <col min="13314" max="13314" width="19" style="191" bestFit="1" customWidth="1"/>
    <col min="13315" max="13317" width="0" style="191" hidden="1" customWidth="1"/>
    <col min="13318" max="13318" width="44" style="191" customWidth="1"/>
    <col min="13319" max="13320" width="15.7109375" style="191" customWidth="1"/>
    <col min="13321" max="13321" width="16.28515625" style="191" customWidth="1"/>
    <col min="13322" max="13322" width="12.85546875" style="191" bestFit="1" customWidth="1"/>
    <col min="13323" max="13323" width="13.5703125" style="191" customWidth="1"/>
    <col min="13324" max="13335" width="12.85546875" style="191" bestFit="1" customWidth="1"/>
    <col min="13336" max="13336" width="14" style="191" customWidth="1"/>
    <col min="13337" max="13342" width="12.85546875" style="191" bestFit="1" customWidth="1"/>
    <col min="13343" max="13343" width="13.85546875" style="191" bestFit="1" customWidth="1"/>
    <col min="13344" max="13344" width="11.7109375" style="191" bestFit="1" customWidth="1"/>
    <col min="13345" max="13345" width="12.28515625" style="191" customWidth="1"/>
    <col min="13346" max="13568" width="11.42578125" style="191"/>
    <col min="13569" max="13569" width="0" style="191" hidden="1" customWidth="1"/>
    <col min="13570" max="13570" width="19" style="191" bestFit="1" customWidth="1"/>
    <col min="13571" max="13573" width="0" style="191" hidden="1" customWidth="1"/>
    <col min="13574" max="13574" width="44" style="191" customWidth="1"/>
    <col min="13575" max="13576" width="15.7109375" style="191" customWidth="1"/>
    <col min="13577" max="13577" width="16.28515625" style="191" customWidth="1"/>
    <col min="13578" max="13578" width="12.85546875" style="191" bestFit="1" customWidth="1"/>
    <col min="13579" max="13579" width="13.5703125" style="191" customWidth="1"/>
    <col min="13580" max="13591" width="12.85546875" style="191" bestFit="1" customWidth="1"/>
    <col min="13592" max="13592" width="14" style="191" customWidth="1"/>
    <col min="13593" max="13598" width="12.85546875" style="191" bestFit="1" customWidth="1"/>
    <col min="13599" max="13599" width="13.85546875" style="191" bestFit="1" customWidth="1"/>
    <col min="13600" max="13600" width="11.7109375" style="191" bestFit="1" customWidth="1"/>
    <col min="13601" max="13601" width="12.28515625" style="191" customWidth="1"/>
    <col min="13602" max="13824" width="11.42578125" style="191"/>
    <col min="13825" max="13825" width="0" style="191" hidden="1" customWidth="1"/>
    <col min="13826" max="13826" width="19" style="191" bestFit="1" customWidth="1"/>
    <col min="13827" max="13829" width="0" style="191" hidden="1" customWidth="1"/>
    <col min="13830" max="13830" width="44" style="191" customWidth="1"/>
    <col min="13831" max="13832" width="15.7109375" style="191" customWidth="1"/>
    <col min="13833" max="13833" width="16.28515625" style="191" customWidth="1"/>
    <col min="13834" max="13834" width="12.85546875" style="191" bestFit="1" customWidth="1"/>
    <col min="13835" max="13835" width="13.5703125" style="191" customWidth="1"/>
    <col min="13836" max="13847" width="12.85546875" style="191" bestFit="1" customWidth="1"/>
    <col min="13848" max="13848" width="14" style="191" customWidth="1"/>
    <col min="13849" max="13854" width="12.85546875" style="191" bestFit="1" customWidth="1"/>
    <col min="13855" max="13855" width="13.85546875" style="191" bestFit="1" customWidth="1"/>
    <col min="13856" max="13856" width="11.7109375" style="191" bestFit="1" customWidth="1"/>
    <col min="13857" max="13857" width="12.28515625" style="191" customWidth="1"/>
    <col min="13858" max="14080" width="11.42578125" style="191"/>
    <col min="14081" max="14081" width="0" style="191" hidden="1" customWidth="1"/>
    <col min="14082" max="14082" width="19" style="191" bestFit="1" customWidth="1"/>
    <col min="14083" max="14085" width="0" style="191" hidden="1" customWidth="1"/>
    <col min="14086" max="14086" width="44" style="191" customWidth="1"/>
    <col min="14087" max="14088" width="15.7109375" style="191" customWidth="1"/>
    <col min="14089" max="14089" width="16.28515625" style="191" customWidth="1"/>
    <col min="14090" max="14090" width="12.85546875" style="191" bestFit="1" customWidth="1"/>
    <col min="14091" max="14091" width="13.5703125" style="191" customWidth="1"/>
    <col min="14092" max="14103" width="12.85546875" style="191" bestFit="1" customWidth="1"/>
    <col min="14104" max="14104" width="14" style="191" customWidth="1"/>
    <col min="14105" max="14110" width="12.85546875" style="191" bestFit="1" customWidth="1"/>
    <col min="14111" max="14111" width="13.85546875" style="191" bestFit="1" customWidth="1"/>
    <col min="14112" max="14112" width="11.7109375" style="191" bestFit="1" customWidth="1"/>
    <col min="14113" max="14113" width="12.28515625" style="191" customWidth="1"/>
    <col min="14114" max="14336" width="11.42578125" style="191"/>
    <col min="14337" max="14337" width="0" style="191" hidden="1" customWidth="1"/>
    <col min="14338" max="14338" width="19" style="191" bestFit="1" customWidth="1"/>
    <col min="14339" max="14341" width="0" style="191" hidden="1" customWidth="1"/>
    <col min="14342" max="14342" width="44" style="191" customWidth="1"/>
    <col min="14343" max="14344" width="15.7109375" style="191" customWidth="1"/>
    <col min="14345" max="14345" width="16.28515625" style="191" customWidth="1"/>
    <col min="14346" max="14346" width="12.85546875" style="191" bestFit="1" customWidth="1"/>
    <col min="14347" max="14347" width="13.5703125" style="191" customWidth="1"/>
    <col min="14348" max="14359" width="12.85546875" style="191" bestFit="1" customWidth="1"/>
    <col min="14360" max="14360" width="14" style="191" customWidth="1"/>
    <col min="14361" max="14366" width="12.85546875" style="191" bestFit="1" customWidth="1"/>
    <col min="14367" max="14367" width="13.85546875" style="191" bestFit="1" customWidth="1"/>
    <col min="14368" max="14368" width="11.7109375" style="191" bestFit="1" customWidth="1"/>
    <col min="14369" max="14369" width="12.28515625" style="191" customWidth="1"/>
    <col min="14370" max="14592" width="11.42578125" style="191"/>
    <col min="14593" max="14593" width="0" style="191" hidden="1" customWidth="1"/>
    <col min="14594" max="14594" width="19" style="191" bestFit="1" customWidth="1"/>
    <col min="14595" max="14597" width="0" style="191" hidden="1" customWidth="1"/>
    <col min="14598" max="14598" width="44" style="191" customWidth="1"/>
    <col min="14599" max="14600" width="15.7109375" style="191" customWidth="1"/>
    <col min="14601" max="14601" width="16.28515625" style="191" customWidth="1"/>
    <col min="14602" max="14602" width="12.85546875" style="191" bestFit="1" customWidth="1"/>
    <col min="14603" max="14603" width="13.5703125" style="191" customWidth="1"/>
    <col min="14604" max="14615" width="12.85546875" style="191" bestFit="1" customWidth="1"/>
    <col min="14616" max="14616" width="14" style="191" customWidth="1"/>
    <col min="14617" max="14622" width="12.85546875" style="191" bestFit="1" customWidth="1"/>
    <col min="14623" max="14623" width="13.85546875" style="191" bestFit="1" customWidth="1"/>
    <col min="14624" max="14624" width="11.7109375" style="191" bestFit="1" customWidth="1"/>
    <col min="14625" max="14625" width="12.28515625" style="191" customWidth="1"/>
    <col min="14626" max="14848" width="11.42578125" style="191"/>
    <col min="14849" max="14849" width="0" style="191" hidden="1" customWidth="1"/>
    <col min="14850" max="14850" width="19" style="191" bestFit="1" customWidth="1"/>
    <col min="14851" max="14853" width="0" style="191" hidden="1" customWidth="1"/>
    <col min="14854" max="14854" width="44" style="191" customWidth="1"/>
    <col min="14855" max="14856" width="15.7109375" style="191" customWidth="1"/>
    <col min="14857" max="14857" width="16.28515625" style="191" customWidth="1"/>
    <col min="14858" max="14858" width="12.85546875" style="191" bestFit="1" customWidth="1"/>
    <col min="14859" max="14859" width="13.5703125" style="191" customWidth="1"/>
    <col min="14860" max="14871" width="12.85546875" style="191" bestFit="1" customWidth="1"/>
    <col min="14872" max="14872" width="14" style="191" customWidth="1"/>
    <col min="14873" max="14878" width="12.85546875" style="191" bestFit="1" customWidth="1"/>
    <col min="14879" max="14879" width="13.85546875" style="191" bestFit="1" customWidth="1"/>
    <col min="14880" max="14880" width="11.7109375" style="191" bestFit="1" customWidth="1"/>
    <col min="14881" max="14881" width="12.28515625" style="191" customWidth="1"/>
    <col min="14882" max="15104" width="11.42578125" style="191"/>
    <col min="15105" max="15105" width="0" style="191" hidden="1" customWidth="1"/>
    <col min="15106" max="15106" width="19" style="191" bestFit="1" customWidth="1"/>
    <col min="15107" max="15109" width="0" style="191" hidden="1" customWidth="1"/>
    <col min="15110" max="15110" width="44" style="191" customWidth="1"/>
    <col min="15111" max="15112" width="15.7109375" style="191" customWidth="1"/>
    <col min="15113" max="15113" width="16.28515625" style="191" customWidth="1"/>
    <col min="15114" max="15114" width="12.85546875" style="191" bestFit="1" customWidth="1"/>
    <col min="15115" max="15115" width="13.5703125" style="191" customWidth="1"/>
    <col min="15116" max="15127" width="12.85546875" style="191" bestFit="1" customWidth="1"/>
    <col min="15128" max="15128" width="14" style="191" customWidth="1"/>
    <col min="15129" max="15134" width="12.85546875" style="191" bestFit="1" customWidth="1"/>
    <col min="15135" max="15135" width="13.85546875" style="191" bestFit="1" customWidth="1"/>
    <col min="15136" max="15136" width="11.7109375" style="191" bestFit="1" customWidth="1"/>
    <col min="15137" max="15137" width="12.28515625" style="191" customWidth="1"/>
    <col min="15138" max="15360" width="11.42578125" style="191"/>
    <col min="15361" max="15361" width="0" style="191" hidden="1" customWidth="1"/>
    <col min="15362" max="15362" width="19" style="191" bestFit="1" customWidth="1"/>
    <col min="15363" max="15365" width="0" style="191" hidden="1" customWidth="1"/>
    <col min="15366" max="15366" width="44" style="191" customWidth="1"/>
    <col min="15367" max="15368" width="15.7109375" style="191" customWidth="1"/>
    <col min="15369" max="15369" width="16.28515625" style="191" customWidth="1"/>
    <col min="15370" max="15370" width="12.85546875" style="191" bestFit="1" customWidth="1"/>
    <col min="15371" max="15371" width="13.5703125" style="191" customWidth="1"/>
    <col min="15372" max="15383" width="12.85546875" style="191" bestFit="1" customWidth="1"/>
    <col min="15384" max="15384" width="14" style="191" customWidth="1"/>
    <col min="15385" max="15390" width="12.85546875" style="191" bestFit="1" customWidth="1"/>
    <col min="15391" max="15391" width="13.85546875" style="191" bestFit="1" customWidth="1"/>
    <col min="15392" max="15392" width="11.7109375" style="191" bestFit="1" customWidth="1"/>
    <col min="15393" max="15393" width="12.28515625" style="191" customWidth="1"/>
    <col min="15394" max="15616" width="11.42578125" style="191"/>
    <col min="15617" max="15617" width="0" style="191" hidden="1" customWidth="1"/>
    <col min="15618" max="15618" width="19" style="191" bestFit="1" customWidth="1"/>
    <col min="15619" max="15621" width="0" style="191" hidden="1" customWidth="1"/>
    <col min="15622" max="15622" width="44" style="191" customWidth="1"/>
    <col min="15623" max="15624" width="15.7109375" style="191" customWidth="1"/>
    <col min="15625" max="15625" width="16.28515625" style="191" customWidth="1"/>
    <col min="15626" max="15626" width="12.85546875" style="191" bestFit="1" customWidth="1"/>
    <col min="15627" max="15627" width="13.5703125" style="191" customWidth="1"/>
    <col min="15628" max="15639" width="12.85546875" style="191" bestFit="1" customWidth="1"/>
    <col min="15640" max="15640" width="14" style="191" customWidth="1"/>
    <col min="15641" max="15646" width="12.85546875" style="191" bestFit="1" customWidth="1"/>
    <col min="15647" max="15647" width="13.85546875" style="191" bestFit="1" customWidth="1"/>
    <col min="15648" max="15648" width="11.7109375" style="191" bestFit="1" customWidth="1"/>
    <col min="15649" max="15649" width="12.28515625" style="191" customWidth="1"/>
    <col min="15650" max="15872" width="11.42578125" style="191"/>
    <col min="15873" max="15873" width="0" style="191" hidden="1" customWidth="1"/>
    <col min="15874" max="15874" width="19" style="191" bestFit="1" customWidth="1"/>
    <col min="15875" max="15877" width="0" style="191" hidden="1" customWidth="1"/>
    <col min="15878" max="15878" width="44" style="191" customWidth="1"/>
    <col min="15879" max="15880" width="15.7109375" style="191" customWidth="1"/>
    <col min="15881" max="15881" width="16.28515625" style="191" customWidth="1"/>
    <col min="15882" max="15882" width="12.85546875" style="191" bestFit="1" customWidth="1"/>
    <col min="15883" max="15883" width="13.5703125" style="191" customWidth="1"/>
    <col min="15884" max="15895" width="12.85546875" style="191" bestFit="1" customWidth="1"/>
    <col min="15896" max="15896" width="14" style="191" customWidth="1"/>
    <col min="15897" max="15902" width="12.85546875" style="191" bestFit="1" customWidth="1"/>
    <col min="15903" max="15903" width="13.85546875" style="191" bestFit="1" customWidth="1"/>
    <col min="15904" max="15904" width="11.7109375" style="191" bestFit="1" customWidth="1"/>
    <col min="15905" max="15905" width="12.28515625" style="191" customWidth="1"/>
    <col min="15906" max="16128" width="11.42578125" style="191"/>
    <col min="16129" max="16129" width="0" style="191" hidden="1" customWidth="1"/>
    <col min="16130" max="16130" width="19" style="191" bestFit="1" customWidth="1"/>
    <col min="16131" max="16133" width="0" style="191" hidden="1" customWidth="1"/>
    <col min="16134" max="16134" width="44" style="191" customWidth="1"/>
    <col min="16135" max="16136" width="15.7109375" style="191" customWidth="1"/>
    <col min="16137" max="16137" width="16.28515625" style="191" customWidth="1"/>
    <col min="16138" max="16138" width="12.85546875" style="191" bestFit="1" customWidth="1"/>
    <col min="16139" max="16139" width="13.5703125" style="191" customWidth="1"/>
    <col min="16140" max="16151" width="12.85546875" style="191" bestFit="1" customWidth="1"/>
    <col min="16152" max="16152" width="14" style="191" customWidth="1"/>
    <col min="16153" max="16158" width="12.85546875" style="191" bestFit="1" customWidth="1"/>
    <col min="16159" max="16159" width="13.85546875" style="191" bestFit="1" customWidth="1"/>
    <col min="16160" max="16160" width="11.7109375" style="191" bestFit="1" customWidth="1"/>
    <col min="16161" max="16161" width="12.28515625" style="191" customWidth="1"/>
    <col min="16162" max="16384" width="11.42578125" style="191"/>
  </cols>
  <sheetData>
    <row r="1" spans="2:31" s="153" customFormat="1" ht="14.25" thickTop="1" thickBot="1" x14ac:dyDescent="0.3">
      <c r="B1" s="148"/>
      <c r="C1" s="149"/>
      <c r="D1" s="149"/>
      <c r="E1" s="149"/>
      <c r="F1" s="150"/>
      <c r="G1" s="149">
        <v>2010</v>
      </c>
      <c r="H1" s="149">
        <f t="shared" ref="H1:AE1" si="0">G1+1</f>
        <v>2011</v>
      </c>
      <c r="I1" s="149">
        <f t="shared" si="0"/>
        <v>2012</v>
      </c>
      <c r="J1" s="151">
        <f t="shared" si="0"/>
        <v>2013</v>
      </c>
      <c r="K1" s="151">
        <f t="shared" si="0"/>
        <v>2014</v>
      </c>
      <c r="L1" s="151">
        <f t="shared" si="0"/>
        <v>2015</v>
      </c>
      <c r="M1" s="151">
        <f t="shared" si="0"/>
        <v>2016</v>
      </c>
      <c r="N1" s="151">
        <f t="shared" si="0"/>
        <v>2017</v>
      </c>
      <c r="O1" s="151">
        <f t="shared" si="0"/>
        <v>2018</v>
      </c>
      <c r="P1" s="151">
        <f t="shared" si="0"/>
        <v>2019</v>
      </c>
      <c r="Q1" s="151">
        <f t="shared" si="0"/>
        <v>2020</v>
      </c>
      <c r="R1" s="151">
        <f t="shared" si="0"/>
        <v>2021</v>
      </c>
      <c r="S1" s="151">
        <f t="shared" si="0"/>
        <v>2022</v>
      </c>
      <c r="T1" s="151">
        <f t="shared" si="0"/>
        <v>2023</v>
      </c>
      <c r="U1" s="151">
        <f t="shared" si="0"/>
        <v>2024</v>
      </c>
      <c r="V1" s="151">
        <f t="shared" si="0"/>
        <v>2025</v>
      </c>
      <c r="W1" s="151">
        <f t="shared" si="0"/>
        <v>2026</v>
      </c>
      <c r="X1" s="151">
        <f t="shared" si="0"/>
        <v>2027</v>
      </c>
      <c r="Y1" s="151">
        <f t="shared" si="0"/>
        <v>2028</v>
      </c>
      <c r="Z1" s="151">
        <f t="shared" si="0"/>
        <v>2029</v>
      </c>
      <c r="AA1" s="151">
        <f t="shared" si="0"/>
        <v>2030</v>
      </c>
      <c r="AB1" s="151">
        <f t="shared" si="0"/>
        <v>2031</v>
      </c>
      <c r="AC1" s="151">
        <f t="shared" si="0"/>
        <v>2032</v>
      </c>
      <c r="AD1" s="151">
        <f t="shared" si="0"/>
        <v>2033</v>
      </c>
      <c r="AE1" s="152">
        <f t="shared" si="0"/>
        <v>2034</v>
      </c>
    </row>
    <row r="2" spans="2:31" ht="13.5" thickBot="1" x14ac:dyDescent="0.3">
      <c r="B2" s="154"/>
      <c r="C2" s="155"/>
      <c r="D2" s="156" t="s">
        <v>263</v>
      </c>
      <c r="E2" s="156"/>
      <c r="F2" s="156">
        <v>2009</v>
      </c>
      <c r="G2" s="157">
        <v>40179</v>
      </c>
      <c r="H2" s="157">
        <v>40544</v>
      </c>
      <c r="I2" s="157">
        <v>40909</v>
      </c>
      <c r="J2" s="158">
        <v>41275</v>
      </c>
      <c r="K2" s="158">
        <v>41640</v>
      </c>
      <c r="L2" s="158">
        <v>42005</v>
      </c>
      <c r="M2" s="158">
        <v>42370</v>
      </c>
      <c r="N2" s="158">
        <v>42736</v>
      </c>
      <c r="O2" s="158">
        <v>43101</v>
      </c>
      <c r="P2" s="158">
        <v>43466</v>
      </c>
      <c r="Q2" s="158">
        <v>43831</v>
      </c>
      <c r="R2" s="158">
        <v>44197</v>
      </c>
      <c r="S2" s="158">
        <v>44562</v>
      </c>
      <c r="T2" s="158">
        <v>44927</v>
      </c>
      <c r="U2" s="158">
        <v>45292</v>
      </c>
      <c r="V2" s="158">
        <v>45658</v>
      </c>
      <c r="W2" s="158">
        <v>46023</v>
      </c>
      <c r="X2" s="158">
        <v>46388</v>
      </c>
      <c r="Y2" s="158">
        <v>46753</v>
      </c>
      <c r="Z2" s="158">
        <v>47119</v>
      </c>
      <c r="AA2" s="158">
        <v>47484</v>
      </c>
      <c r="AB2" s="158">
        <v>47849</v>
      </c>
      <c r="AC2" s="158">
        <v>48214</v>
      </c>
      <c r="AD2" s="158">
        <v>48580</v>
      </c>
      <c r="AE2" s="159">
        <v>48945</v>
      </c>
    </row>
    <row r="3" spans="2:31" ht="13.5" hidden="1" thickBot="1" x14ac:dyDescent="0.3">
      <c r="B3" s="161" t="s">
        <v>264</v>
      </c>
      <c r="C3" s="155"/>
      <c r="D3" s="162" t="s">
        <v>265</v>
      </c>
      <c r="E3" s="162"/>
      <c r="F3" s="162">
        <v>0</v>
      </c>
      <c r="G3" s="162">
        <v>1</v>
      </c>
      <c r="H3" s="162">
        <v>2</v>
      </c>
      <c r="I3" s="162">
        <v>3</v>
      </c>
      <c r="J3" s="163">
        <v>4</v>
      </c>
      <c r="K3" s="163">
        <v>5</v>
      </c>
      <c r="L3" s="163">
        <v>6</v>
      </c>
      <c r="M3" s="163">
        <v>7</v>
      </c>
      <c r="N3" s="163">
        <v>8</v>
      </c>
      <c r="O3" s="163">
        <v>9</v>
      </c>
      <c r="P3" s="163">
        <v>10</v>
      </c>
      <c r="Q3" s="163">
        <v>11</v>
      </c>
      <c r="R3" s="163">
        <v>12</v>
      </c>
      <c r="S3" s="163">
        <v>13</v>
      </c>
      <c r="T3" s="163">
        <v>14</v>
      </c>
      <c r="U3" s="163">
        <v>15</v>
      </c>
      <c r="V3" s="163">
        <v>16</v>
      </c>
      <c r="W3" s="163">
        <v>17</v>
      </c>
      <c r="X3" s="163">
        <v>18</v>
      </c>
      <c r="Y3" s="163">
        <v>19</v>
      </c>
      <c r="Z3" s="163">
        <v>20</v>
      </c>
      <c r="AA3" s="163">
        <v>21</v>
      </c>
      <c r="AB3" s="163">
        <v>22</v>
      </c>
      <c r="AC3" s="163">
        <v>23</v>
      </c>
      <c r="AD3" s="163">
        <v>24</v>
      </c>
      <c r="AE3" s="164">
        <v>25</v>
      </c>
    </row>
    <row r="4" spans="2:31" ht="13.5" hidden="1" thickBot="1" x14ac:dyDescent="0.3">
      <c r="B4" s="154"/>
      <c r="C4" s="155"/>
      <c r="D4" s="165"/>
      <c r="E4" s="165"/>
      <c r="F4" s="165"/>
      <c r="G4" s="165"/>
      <c r="H4" s="165"/>
      <c r="I4" s="165"/>
      <c r="J4" s="166"/>
      <c r="K4" s="166"/>
      <c r="L4" s="166"/>
      <c r="M4" s="166"/>
      <c r="N4" s="166"/>
      <c r="O4" s="166"/>
      <c r="P4" s="166"/>
      <c r="Q4" s="166"/>
      <c r="R4" s="166"/>
      <c r="S4" s="166"/>
      <c r="T4" s="166"/>
      <c r="U4" s="166"/>
      <c r="V4" s="166"/>
      <c r="W4" s="166"/>
      <c r="X4" s="166"/>
      <c r="Y4" s="166"/>
      <c r="Z4" s="166"/>
      <c r="AA4" s="166"/>
      <c r="AB4" s="166"/>
      <c r="AC4" s="166"/>
      <c r="AD4" s="166"/>
      <c r="AE4" s="167"/>
    </row>
    <row r="5" spans="2:31" ht="13.5" hidden="1" thickBot="1" x14ac:dyDescent="0.3">
      <c r="B5" s="154"/>
      <c r="C5" s="155"/>
      <c r="D5" s="165" t="s">
        <v>266</v>
      </c>
      <c r="E5" s="165"/>
      <c r="F5" s="168">
        <v>0</v>
      </c>
      <c r="G5" s="169">
        <v>9.000000000000008E-3</v>
      </c>
      <c r="H5" s="169">
        <v>2.1000000000000019E-2</v>
      </c>
      <c r="I5" s="169">
        <v>2.6000000000000023E-2</v>
      </c>
      <c r="J5" s="170">
        <v>2.9000000000000026E-2</v>
      </c>
      <c r="K5" s="170">
        <v>0.03</v>
      </c>
      <c r="L5" s="170">
        <v>3.1000000000000028E-2</v>
      </c>
      <c r="M5" s="170">
        <v>3.400000000000003E-2</v>
      </c>
      <c r="N5" s="170">
        <v>3.6000000000000032E-2</v>
      </c>
      <c r="O5" s="170">
        <v>3.2000000000000028E-2</v>
      </c>
      <c r="P5" s="170">
        <v>3.1000000000000028E-2</v>
      </c>
      <c r="Q5" s="170">
        <v>3.5000000000000003E-2</v>
      </c>
      <c r="R5" s="170">
        <v>3.7000000000000033E-2</v>
      </c>
      <c r="S5" s="170">
        <v>3.9000000000000035E-2</v>
      </c>
      <c r="T5" s="170">
        <v>4.322488283859522E-2</v>
      </c>
      <c r="U5" s="170">
        <v>4.4745779018321705E-2</v>
      </c>
      <c r="V5" s="170">
        <v>4.6233044852910368E-2</v>
      </c>
      <c r="W5" s="170">
        <v>4.7690760747624454E-2</v>
      </c>
      <c r="X5" s="170">
        <v>4.912230677211607E-2</v>
      </c>
      <c r="Y5" s="170">
        <v>5.0530514292706649E-2</v>
      </c>
      <c r="Z5" s="170">
        <v>5.1917778665332655E-2</v>
      </c>
      <c r="AA5" s="170">
        <v>5.3286144404811872E-2</v>
      </c>
      <c r="AB5" s="170">
        <v>5.4637370522855312E-2</v>
      </c>
      <c r="AC5" s="170">
        <v>5.5972981330265112E-2</v>
      </c>
      <c r="AD5" s="170">
        <v>5.7294306419127014E-2</v>
      </c>
      <c r="AE5" s="171">
        <v>5.8602512477754942E-2</v>
      </c>
    </row>
    <row r="6" spans="2:31" ht="13.5" hidden="1" thickBot="1" x14ac:dyDescent="0.3">
      <c r="B6" s="154"/>
      <c r="C6" s="155"/>
      <c r="D6" s="165"/>
      <c r="E6" s="165"/>
      <c r="F6" s="165"/>
      <c r="G6" s="165"/>
      <c r="H6" s="165"/>
      <c r="I6" s="165"/>
      <c r="J6" s="166"/>
      <c r="K6" s="166"/>
      <c r="L6" s="166"/>
      <c r="M6" s="166"/>
      <c r="N6" s="166"/>
      <c r="O6" s="166"/>
      <c r="P6" s="166"/>
      <c r="Q6" s="166"/>
      <c r="R6" s="166"/>
      <c r="S6" s="166"/>
      <c r="T6" s="166"/>
      <c r="U6" s="166"/>
      <c r="V6" s="166"/>
      <c r="W6" s="166"/>
      <c r="X6" s="166"/>
      <c r="Y6" s="166"/>
      <c r="Z6" s="166"/>
      <c r="AA6" s="166"/>
      <c r="AB6" s="166"/>
      <c r="AC6" s="166"/>
      <c r="AD6" s="166"/>
      <c r="AE6" s="167"/>
    </row>
    <row r="7" spans="2:31" ht="13.5" hidden="1" thickBot="1" x14ac:dyDescent="0.3">
      <c r="B7" s="154"/>
      <c r="C7" s="155"/>
      <c r="D7" s="165" t="s">
        <v>267</v>
      </c>
      <c r="E7" s="165"/>
      <c r="F7" s="165">
        <v>827</v>
      </c>
      <c r="G7" s="172">
        <v>819.55700000000002</v>
      </c>
      <c r="H7" s="172">
        <v>809.63300000000004</v>
      </c>
      <c r="I7" s="172">
        <v>805.49799999999993</v>
      </c>
      <c r="J7" s="173">
        <v>803.01699999999994</v>
      </c>
      <c r="K7" s="173">
        <v>802.19</v>
      </c>
      <c r="L7" s="173">
        <v>801.36299999999994</v>
      </c>
      <c r="M7" s="173">
        <v>798.88199999999995</v>
      </c>
      <c r="N7" s="173">
        <v>797.22799999999995</v>
      </c>
      <c r="O7" s="173">
        <v>800.53599999999994</v>
      </c>
      <c r="P7" s="173">
        <v>801.36299999999994</v>
      </c>
      <c r="Q7" s="173">
        <v>798.05499999999995</v>
      </c>
      <c r="R7" s="173">
        <v>796.40099999999995</v>
      </c>
      <c r="S7" s="173">
        <v>794.74699999999996</v>
      </c>
      <c r="T7" s="173">
        <v>791.25302189248168</v>
      </c>
      <c r="U7" s="173">
        <v>789.99524075184797</v>
      </c>
      <c r="V7" s="173">
        <v>788.76527190664319</v>
      </c>
      <c r="W7" s="173">
        <v>787.55974086171454</v>
      </c>
      <c r="X7" s="173">
        <v>786.37585229946001</v>
      </c>
      <c r="Y7" s="173">
        <v>785.21126467993167</v>
      </c>
      <c r="Z7" s="173">
        <v>784.06399704376986</v>
      </c>
      <c r="AA7" s="173">
        <v>782.93235857722061</v>
      </c>
      <c r="AB7" s="173">
        <v>781.81489457759869</v>
      </c>
      <c r="AC7" s="173">
        <v>780.71034443987082</v>
      </c>
      <c r="AD7" s="173">
        <v>779.6176085913819</v>
      </c>
      <c r="AE7" s="174">
        <v>778.53572218089664</v>
      </c>
    </row>
    <row r="8" spans="2:31" ht="13.5" hidden="1" thickBot="1" x14ac:dyDescent="0.3">
      <c r="B8" s="154"/>
      <c r="C8" s="155"/>
      <c r="D8" s="165"/>
      <c r="E8" s="165"/>
      <c r="F8" s="165"/>
      <c r="G8" s="165"/>
      <c r="H8" s="165"/>
      <c r="I8" s="165"/>
      <c r="J8" s="166"/>
      <c r="K8" s="166"/>
      <c r="L8" s="166"/>
      <c r="M8" s="166"/>
      <c r="N8" s="166"/>
      <c r="O8" s="166"/>
      <c r="P8" s="166"/>
      <c r="Q8" s="166"/>
      <c r="R8" s="166"/>
      <c r="S8" s="166"/>
      <c r="T8" s="166"/>
      <c r="U8" s="166"/>
      <c r="V8" s="166"/>
      <c r="W8" s="166"/>
      <c r="X8" s="166"/>
      <c r="Y8" s="166"/>
      <c r="Z8" s="166"/>
      <c r="AA8" s="166"/>
      <c r="AB8" s="166"/>
      <c r="AC8" s="166"/>
      <c r="AD8" s="166"/>
      <c r="AE8" s="167"/>
    </row>
    <row r="9" spans="2:31" ht="13.5" hidden="1" thickBot="1" x14ac:dyDescent="0.3">
      <c r="B9" s="154"/>
      <c r="C9" s="155"/>
      <c r="D9" s="165" t="s">
        <v>268</v>
      </c>
      <c r="E9" s="165"/>
      <c r="F9" s="175">
        <v>0.2418379685610641</v>
      </c>
      <c r="G9" s="175">
        <v>0.24403427705455508</v>
      </c>
      <c r="H9" s="175">
        <v>0.24702550414817576</v>
      </c>
      <c r="I9" s="175">
        <v>0.24829360221875166</v>
      </c>
      <c r="J9" s="176">
        <v>0.24906072972303203</v>
      </c>
      <c r="K9" s="176">
        <v>0.24931749336192177</v>
      </c>
      <c r="L9" s="176">
        <v>0.2495747869567225</v>
      </c>
      <c r="M9" s="176">
        <v>0.25034986393484898</v>
      </c>
      <c r="N9" s="176">
        <v>0.25086926199280507</v>
      </c>
      <c r="O9" s="176">
        <v>0.24983261214985961</v>
      </c>
      <c r="P9" s="176">
        <v>0.2495747869567225</v>
      </c>
      <c r="Q9" s="176">
        <v>0.25060929384566227</v>
      </c>
      <c r="R9" s="176">
        <v>0.25112977005302606</v>
      </c>
      <c r="S9" s="176">
        <v>0.25165241265459326</v>
      </c>
      <c r="T9" s="176">
        <v>0.25276364761508202</v>
      </c>
      <c r="U9" s="176">
        <v>0.25316608212684621</v>
      </c>
      <c r="V9" s="176">
        <v>0.25356085913436566</v>
      </c>
      <c r="W9" s="176">
        <v>0.25394898903944541</v>
      </c>
      <c r="X9" s="176">
        <v>0.25433130915092994</v>
      </c>
      <c r="Y9" s="176">
        <v>0.25470852112841774</v>
      </c>
      <c r="Z9" s="176">
        <v>0.25508121882152324</v>
      </c>
      <c r="AA9" s="176">
        <v>0.25544990931713291</v>
      </c>
      <c r="AB9" s="176">
        <v>0.25581502909081388</v>
      </c>
      <c r="AC9" s="176">
        <v>0.25617695656830597</v>
      </c>
      <c r="AD9" s="176">
        <v>0.25653602201387071</v>
      </c>
      <c r="AE9" s="177">
        <v>0.25689251540024904</v>
      </c>
    </row>
    <row r="10" spans="2:31" ht="13.5" hidden="1" thickBot="1" x14ac:dyDescent="0.3">
      <c r="B10" s="154"/>
      <c r="C10" s="155"/>
      <c r="D10" s="165"/>
      <c r="E10" s="165"/>
      <c r="F10" s="175"/>
      <c r="G10" s="175"/>
      <c r="H10" s="175"/>
      <c r="I10" s="175"/>
      <c r="J10" s="176"/>
      <c r="K10" s="176"/>
      <c r="L10" s="176"/>
      <c r="M10" s="176"/>
      <c r="N10" s="176"/>
      <c r="O10" s="176"/>
      <c r="P10" s="176"/>
      <c r="Q10" s="176"/>
      <c r="R10" s="176"/>
      <c r="S10" s="176"/>
      <c r="T10" s="176"/>
      <c r="U10" s="176"/>
      <c r="V10" s="176"/>
      <c r="W10" s="176"/>
      <c r="X10" s="176"/>
      <c r="Y10" s="176"/>
      <c r="Z10" s="176"/>
      <c r="AA10" s="176"/>
      <c r="AB10" s="176"/>
      <c r="AC10" s="176"/>
      <c r="AD10" s="176"/>
      <c r="AE10" s="177"/>
    </row>
    <row r="11" spans="2:31" ht="13.5" hidden="1" thickBot="1" x14ac:dyDescent="0.3">
      <c r="B11" s="154"/>
      <c r="C11" s="155"/>
      <c r="D11" s="165" t="s">
        <v>269</v>
      </c>
      <c r="E11" s="165"/>
      <c r="F11" s="175">
        <v>1</v>
      </c>
      <c r="G11" s="175">
        <v>1.004</v>
      </c>
      <c r="H11" s="175">
        <v>1.008</v>
      </c>
      <c r="I11" s="175">
        <v>1.01</v>
      </c>
      <c r="J11" s="176">
        <v>1.0109999999999999</v>
      </c>
      <c r="K11" s="176">
        <v>1.012</v>
      </c>
      <c r="L11" s="176">
        <v>1.0129999999999999</v>
      </c>
      <c r="M11" s="176">
        <v>1.014</v>
      </c>
      <c r="N11" s="176">
        <v>1.0149999999999999</v>
      </c>
      <c r="O11" s="176">
        <v>1.0149999999999999</v>
      </c>
      <c r="P11" s="176">
        <v>1.016</v>
      </c>
      <c r="Q11" s="176">
        <v>1.016</v>
      </c>
      <c r="R11" s="176">
        <v>1.0169999999999999</v>
      </c>
      <c r="S11" s="176">
        <v>1.0169999999999999</v>
      </c>
      <c r="T11" s="176">
        <v>1.018</v>
      </c>
      <c r="U11" s="176">
        <v>1.018</v>
      </c>
      <c r="V11" s="176">
        <v>1.018</v>
      </c>
      <c r="W11" s="176">
        <v>1.018</v>
      </c>
      <c r="X11" s="176">
        <v>1.0189999999999999</v>
      </c>
      <c r="Y11" s="176">
        <v>1.0189999999999999</v>
      </c>
      <c r="Z11" s="176">
        <v>1.0189999999999999</v>
      </c>
      <c r="AA11" s="176">
        <v>1.02</v>
      </c>
      <c r="AB11" s="176">
        <v>1.02</v>
      </c>
      <c r="AC11" s="176">
        <v>1.02</v>
      </c>
      <c r="AD11" s="176">
        <v>1.02</v>
      </c>
      <c r="AE11" s="177">
        <v>1.02</v>
      </c>
    </row>
    <row r="12" spans="2:31" ht="13.5" hidden="1" thickBot="1" x14ac:dyDescent="0.3">
      <c r="B12" s="154"/>
      <c r="C12" s="155"/>
      <c r="D12" s="165"/>
      <c r="E12" s="165"/>
      <c r="F12" s="175"/>
      <c r="G12" s="175"/>
      <c r="H12" s="175"/>
      <c r="I12" s="175"/>
      <c r="J12" s="176"/>
      <c r="K12" s="176"/>
      <c r="L12" s="176"/>
      <c r="M12" s="176"/>
      <c r="N12" s="176"/>
      <c r="O12" s="176"/>
      <c r="P12" s="176"/>
      <c r="Q12" s="176"/>
      <c r="R12" s="176"/>
      <c r="S12" s="176"/>
      <c r="T12" s="176"/>
      <c r="U12" s="176"/>
      <c r="V12" s="176"/>
      <c r="W12" s="176"/>
      <c r="X12" s="176"/>
      <c r="Y12" s="176"/>
      <c r="Z12" s="176"/>
      <c r="AA12" s="176"/>
      <c r="AB12" s="176"/>
      <c r="AC12" s="176"/>
      <c r="AD12" s="176"/>
      <c r="AE12" s="177"/>
    </row>
    <row r="13" spans="2:31" ht="13.5" hidden="1" thickBot="1" x14ac:dyDescent="0.3">
      <c r="B13" s="154"/>
      <c r="C13" s="155"/>
      <c r="D13" s="165" t="s">
        <v>270</v>
      </c>
      <c r="E13" s="165"/>
      <c r="F13" s="175"/>
      <c r="G13" s="178">
        <v>0</v>
      </c>
      <c r="H13" s="178">
        <v>2</v>
      </c>
      <c r="I13" s="178">
        <v>2</v>
      </c>
      <c r="J13" s="179">
        <v>28</v>
      </c>
      <c r="K13" s="179">
        <v>3</v>
      </c>
      <c r="L13" s="179">
        <v>4</v>
      </c>
      <c r="M13" s="179">
        <v>34</v>
      </c>
      <c r="N13" s="179">
        <v>3</v>
      </c>
      <c r="O13" s="179">
        <v>3</v>
      </c>
      <c r="P13" s="179">
        <v>45</v>
      </c>
      <c r="Q13" s="179">
        <v>3</v>
      </c>
      <c r="R13" s="179">
        <v>4</v>
      </c>
      <c r="S13" s="179">
        <v>34</v>
      </c>
      <c r="T13" s="179">
        <v>3</v>
      </c>
      <c r="U13" s="179">
        <v>3</v>
      </c>
      <c r="V13" s="179">
        <v>0</v>
      </c>
      <c r="W13" s="179">
        <v>45</v>
      </c>
      <c r="X13" s="179">
        <v>3</v>
      </c>
      <c r="Y13" s="179">
        <v>4</v>
      </c>
      <c r="Z13" s="179">
        <v>34</v>
      </c>
      <c r="AA13" s="179">
        <v>3</v>
      </c>
      <c r="AB13" s="179">
        <v>4</v>
      </c>
      <c r="AC13" s="179">
        <v>45</v>
      </c>
      <c r="AD13" s="179">
        <v>3</v>
      </c>
      <c r="AE13" s="180">
        <v>4</v>
      </c>
    </row>
    <row r="14" spans="2:31" ht="13.5" hidden="1" thickBot="1" x14ac:dyDescent="0.3">
      <c r="B14" s="154"/>
      <c r="C14" s="155"/>
      <c r="D14" s="162"/>
      <c r="E14" s="162"/>
      <c r="F14" s="162"/>
      <c r="G14" s="162"/>
      <c r="H14" s="162"/>
      <c r="I14" s="162"/>
      <c r="J14" s="163"/>
      <c r="K14" s="163"/>
      <c r="L14" s="163"/>
      <c r="M14" s="163"/>
      <c r="N14" s="163"/>
      <c r="O14" s="163"/>
      <c r="P14" s="163"/>
      <c r="Q14" s="163"/>
      <c r="R14" s="163"/>
      <c r="S14" s="163"/>
      <c r="T14" s="163"/>
      <c r="U14" s="163"/>
      <c r="V14" s="163"/>
      <c r="W14" s="163"/>
      <c r="X14" s="163"/>
      <c r="Y14" s="163"/>
      <c r="Z14" s="163"/>
      <c r="AA14" s="163"/>
      <c r="AB14" s="163"/>
      <c r="AC14" s="163"/>
      <c r="AD14" s="163"/>
      <c r="AE14" s="164"/>
    </row>
    <row r="15" spans="2:31" ht="13.5" hidden="1" thickBot="1" x14ac:dyDescent="0.3">
      <c r="B15" s="154"/>
      <c r="C15" s="155"/>
      <c r="D15" s="155"/>
      <c r="E15" s="155"/>
      <c r="F15" s="155"/>
      <c r="G15" s="155"/>
      <c r="H15" s="155"/>
      <c r="I15" s="155"/>
      <c r="J15" s="166"/>
      <c r="K15" s="166"/>
      <c r="L15" s="166"/>
      <c r="M15" s="166"/>
      <c r="N15" s="166"/>
      <c r="O15" s="166"/>
      <c r="P15" s="166"/>
      <c r="Q15" s="166"/>
      <c r="R15" s="166"/>
      <c r="S15" s="166"/>
      <c r="T15" s="166"/>
      <c r="U15" s="166"/>
      <c r="V15" s="166"/>
      <c r="W15" s="181"/>
      <c r="X15" s="182"/>
      <c r="Y15" s="182"/>
      <c r="Z15" s="183"/>
      <c r="AA15" s="166"/>
      <c r="AB15" s="166"/>
      <c r="AC15" s="166"/>
      <c r="AD15" s="166"/>
      <c r="AE15" s="167"/>
    </row>
    <row r="16" spans="2:31" ht="13.5" hidden="1" thickBot="1" x14ac:dyDescent="0.3">
      <c r="B16" s="154"/>
      <c r="C16" s="184" t="s">
        <v>271</v>
      </c>
      <c r="D16" s="185">
        <v>13931608</v>
      </c>
      <c r="E16" s="185"/>
      <c r="F16" s="186" t="s">
        <v>272</v>
      </c>
      <c r="G16" s="186"/>
      <c r="H16" s="186"/>
      <c r="I16" s="187"/>
      <c r="J16" s="188"/>
      <c r="K16" s="561"/>
      <c r="L16" s="561"/>
      <c r="M16" s="561"/>
      <c r="N16" s="561"/>
      <c r="O16" s="189"/>
      <c r="P16" s="189"/>
      <c r="Q16" s="189"/>
      <c r="R16" s="189"/>
      <c r="S16" s="189"/>
      <c r="T16" s="189"/>
      <c r="U16" s="183"/>
      <c r="V16" s="166"/>
      <c r="W16" s="181"/>
      <c r="X16" s="166"/>
      <c r="Y16" s="166"/>
      <c r="Z16" s="183"/>
      <c r="AA16" s="166"/>
      <c r="AB16" s="166"/>
      <c r="AC16" s="166"/>
      <c r="AD16" s="166"/>
      <c r="AE16" s="167"/>
    </row>
    <row r="17" spans="2:33" ht="13.5" hidden="1" thickBot="1" x14ac:dyDescent="0.3">
      <c r="B17" s="154"/>
      <c r="C17" s="190" t="s">
        <v>273</v>
      </c>
      <c r="D17" s="190">
        <v>116</v>
      </c>
      <c r="E17" s="186"/>
      <c r="F17" s="186" t="s">
        <v>274</v>
      </c>
      <c r="G17" s="186"/>
      <c r="H17" s="186"/>
      <c r="I17" s="187"/>
      <c r="J17" s="189"/>
      <c r="K17" s="189"/>
      <c r="L17" s="189"/>
      <c r="M17" s="189"/>
      <c r="N17" s="189"/>
      <c r="O17" s="189"/>
      <c r="P17" s="189"/>
      <c r="Q17" s="189"/>
      <c r="R17" s="189"/>
      <c r="S17" s="189"/>
      <c r="T17" s="189"/>
      <c r="U17" s="183"/>
      <c r="V17" s="166"/>
      <c r="W17" s="181"/>
      <c r="X17" s="166"/>
      <c r="Y17" s="166"/>
      <c r="Z17" s="183"/>
      <c r="AA17" s="166"/>
      <c r="AB17" s="166"/>
      <c r="AC17" s="166"/>
      <c r="AD17" s="166"/>
      <c r="AE17" s="167"/>
    </row>
    <row r="18" spans="2:33" ht="13.5" hidden="1" thickBot="1" x14ac:dyDescent="0.3">
      <c r="B18" s="192">
        <v>867353</v>
      </c>
      <c r="C18" s="190" t="s">
        <v>275</v>
      </c>
      <c r="D18" s="190">
        <v>120.2</v>
      </c>
      <c r="E18" s="186"/>
      <c r="F18" s="186" t="s">
        <v>274</v>
      </c>
      <c r="G18" s="186"/>
      <c r="H18" s="186"/>
      <c r="I18" s="187"/>
      <c r="J18" s="189"/>
      <c r="K18" s="189"/>
      <c r="L18" s="189"/>
      <c r="M18" s="188"/>
      <c r="N18" s="188"/>
      <c r="O18" s="189"/>
      <c r="P18" s="189"/>
      <c r="Q18" s="189"/>
      <c r="R18" s="189"/>
      <c r="S18" s="189"/>
      <c r="T18" s="189"/>
      <c r="U18" s="183"/>
      <c r="V18" s="166"/>
      <c r="W18" s="181"/>
      <c r="X18" s="166"/>
      <c r="Y18" s="166"/>
      <c r="Z18" s="183"/>
      <c r="AA18" s="166"/>
      <c r="AB18" s="166"/>
      <c r="AC18" s="166"/>
      <c r="AD18" s="166"/>
      <c r="AE18" s="167"/>
    </row>
    <row r="19" spans="2:33" ht="13.5" hidden="1" thickBot="1" x14ac:dyDescent="0.3">
      <c r="B19" s="154"/>
      <c r="C19" s="190" t="s">
        <v>276</v>
      </c>
      <c r="D19" s="190">
        <v>1390</v>
      </c>
      <c r="E19" s="186"/>
      <c r="F19" s="186" t="s">
        <v>277</v>
      </c>
      <c r="G19" s="186"/>
      <c r="H19" s="186"/>
      <c r="I19" s="187"/>
      <c r="J19" s="189"/>
      <c r="K19" s="193"/>
      <c r="L19" s="189"/>
      <c r="M19" s="189"/>
      <c r="N19" s="189"/>
      <c r="O19" s="189"/>
      <c r="P19" s="189"/>
      <c r="Q19" s="189"/>
      <c r="R19" s="189"/>
      <c r="S19" s="189"/>
      <c r="T19" s="189"/>
      <c r="U19" s="183"/>
      <c r="V19" s="166"/>
      <c r="W19" s="181"/>
      <c r="X19" s="166"/>
      <c r="Y19" s="194"/>
      <c r="Z19" s="183"/>
      <c r="AA19" s="166"/>
      <c r="AB19" s="166"/>
      <c r="AC19" s="166"/>
      <c r="AD19" s="166"/>
      <c r="AE19" s="167"/>
    </row>
    <row r="20" spans="2:33" ht="13.5" hidden="1" thickBot="1" x14ac:dyDescent="0.3">
      <c r="B20" s="154"/>
      <c r="C20" s="190" t="s">
        <v>278</v>
      </c>
      <c r="D20" s="190">
        <v>136.5</v>
      </c>
      <c r="E20" s="186"/>
      <c r="F20" s="186" t="s">
        <v>274</v>
      </c>
      <c r="G20" s="186"/>
      <c r="H20" s="186"/>
      <c r="I20" s="187"/>
      <c r="J20" s="189"/>
      <c r="K20" s="193"/>
      <c r="L20" s="189"/>
      <c r="M20" s="189"/>
      <c r="N20" s="189"/>
      <c r="O20" s="189"/>
      <c r="P20" s="189"/>
      <c r="Q20" s="189"/>
      <c r="R20" s="189"/>
      <c r="S20" s="189"/>
      <c r="T20" s="189"/>
      <c r="U20" s="183"/>
      <c r="V20" s="166"/>
      <c r="W20" s="181"/>
      <c r="X20" s="166"/>
      <c r="Y20" s="194"/>
      <c r="Z20" s="183"/>
      <c r="AA20" s="166"/>
      <c r="AB20" s="166"/>
      <c r="AC20" s="166"/>
      <c r="AD20" s="166"/>
      <c r="AE20" s="167"/>
    </row>
    <row r="21" spans="2:33" ht="13.5" hidden="1" thickBot="1" x14ac:dyDescent="0.3">
      <c r="B21" s="154"/>
      <c r="C21" s="195" t="s">
        <v>279</v>
      </c>
      <c r="D21" s="195"/>
      <c r="E21" s="196"/>
      <c r="F21" s="165" t="s">
        <v>280</v>
      </c>
      <c r="G21" s="165"/>
      <c r="H21" s="155"/>
      <c r="I21" s="187"/>
      <c r="J21" s="189"/>
      <c r="K21" s="197"/>
      <c r="L21" s="189"/>
      <c r="M21" s="189"/>
      <c r="N21" s="189"/>
      <c r="O21" s="189"/>
      <c r="P21" s="189"/>
      <c r="Q21" s="189"/>
      <c r="R21" s="189"/>
      <c r="S21" s="189"/>
      <c r="T21" s="189"/>
      <c r="U21" s="183"/>
      <c r="V21" s="166"/>
      <c r="W21" s="181"/>
      <c r="X21" s="166"/>
      <c r="Y21" s="166"/>
      <c r="Z21" s="183"/>
      <c r="AA21" s="166"/>
      <c r="AB21" s="166"/>
      <c r="AC21" s="166"/>
      <c r="AD21" s="166"/>
      <c r="AE21" s="167"/>
    </row>
    <row r="22" spans="2:33" ht="13.5" hidden="1" thickBot="1" x14ac:dyDescent="0.3">
      <c r="B22" s="154"/>
      <c r="C22" s="196" t="s">
        <v>281</v>
      </c>
      <c r="D22" s="198">
        <v>0.04</v>
      </c>
      <c r="E22" s="198"/>
      <c r="F22" s="165" t="s">
        <v>282</v>
      </c>
      <c r="G22" s="199">
        <v>4.6699999999999998E-2</v>
      </c>
      <c r="H22" s="155"/>
      <c r="I22" s="187"/>
      <c r="J22" s="200"/>
      <c r="K22" s="201"/>
      <c r="L22" s="189"/>
      <c r="M22" s="189"/>
      <c r="N22" s="189"/>
      <c r="O22" s="189"/>
      <c r="P22" s="189"/>
      <c r="Q22" s="189"/>
      <c r="R22" s="189"/>
      <c r="S22" s="189"/>
      <c r="T22" s="189"/>
      <c r="U22" s="183"/>
      <c r="V22" s="166"/>
      <c r="W22" s="181"/>
      <c r="X22" s="166"/>
      <c r="Y22" s="166"/>
      <c r="Z22" s="183"/>
      <c r="AA22" s="166"/>
      <c r="AB22" s="166"/>
      <c r="AC22" s="166"/>
      <c r="AD22" s="166"/>
      <c r="AE22" s="167"/>
    </row>
    <row r="23" spans="2:33" ht="13.5" hidden="1" thickBot="1" x14ac:dyDescent="0.3">
      <c r="B23" s="154"/>
      <c r="C23" s="196" t="s">
        <v>283</v>
      </c>
      <c r="D23" s="198">
        <v>2.46E-2</v>
      </c>
      <c r="E23" s="198"/>
      <c r="F23" s="165" t="s">
        <v>284</v>
      </c>
      <c r="G23" s="199">
        <v>2.46E-2</v>
      </c>
      <c r="H23" s="155"/>
      <c r="I23" s="187"/>
      <c r="J23" s="189"/>
      <c r="K23" s="189"/>
      <c r="L23" s="189"/>
      <c r="M23" s="189"/>
      <c r="N23" s="189"/>
      <c r="O23" s="189"/>
      <c r="P23" s="189"/>
      <c r="Q23" s="189"/>
      <c r="R23" s="189"/>
      <c r="S23" s="189"/>
      <c r="T23" s="189"/>
      <c r="U23" s="183"/>
      <c r="V23" s="166"/>
      <c r="W23" s="181"/>
      <c r="X23" s="166"/>
      <c r="Y23" s="166"/>
      <c r="Z23" s="183"/>
      <c r="AA23" s="166"/>
      <c r="AB23" s="166"/>
      <c r="AC23" s="166"/>
      <c r="AD23" s="166"/>
      <c r="AE23" s="167"/>
    </row>
    <row r="24" spans="2:33" ht="13.5" hidden="1" thickBot="1" x14ac:dyDescent="0.3">
      <c r="B24" s="154"/>
      <c r="C24" s="196" t="s">
        <v>285</v>
      </c>
      <c r="D24" s="198">
        <v>2.9000000000000001E-2</v>
      </c>
      <c r="E24" s="198"/>
      <c r="F24" s="165" t="s">
        <v>284</v>
      </c>
      <c r="G24" s="199">
        <v>3.8899999999999997E-2</v>
      </c>
      <c r="H24" s="155"/>
      <c r="I24" s="187"/>
      <c r="J24" s="189"/>
      <c r="K24" s="189"/>
      <c r="L24" s="189"/>
      <c r="M24" s="189"/>
      <c r="N24" s="189"/>
      <c r="O24" s="189"/>
      <c r="P24" s="189"/>
      <c r="Q24" s="189"/>
      <c r="R24" s="189"/>
      <c r="S24" s="189"/>
      <c r="T24" s="189"/>
      <c r="U24" s="183"/>
      <c r="V24" s="166"/>
      <c r="W24" s="181"/>
      <c r="X24" s="166"/>
      <c r="Y24" s="166"/>
      <c r="Z24" s="183"/>
      <c r="AA24" s="166"/>
      <c r="AB24" s="166"/>
      <c r="AC24" s="166"/>
      <c r="AD24" s="166"/>
      <c r="AE24" s="167"/>
    </row>
    <row r="25" spans="2:33" ht="13.5" hidden="1" thickBot="1" x14ac:dyDescent="0.3">
      <c r="B25" s="154"/>
      <c r="C25" s="196" t="s">
        <v>286</v>
      </c>
      <c r="D25" s="198">
        <v>0.03</v>
      </c>
      <c r="E25" s="198"/>
      <c r="F25" s="165" t="s">
        <v>284</v>
      </c>
      <c r="G25" s="199">
        <v>3.0599999999999999E-2</v>
      </c>
      <c r="H25" s="155"/>
      <c r="I25" s="155"/>
      <c r="J25" s="166"/>
      <c r="K25" s="166"/>
      <c r="L25" s="166"/>
      <c r="M25" s="166"/>
      <c r="N25" s="166"/>
      <c r="O25" s="166"/>
      <c r="P25" s="166"/>
      <c r="Q25" s="166"/>
      <c r="R25" s="166"/>
      <c r="S25" s="166"/>
      <c r="T25" s="166"/>
      <c r="U25" s="166"/>
      <c r="V25" s="166"/>
      <c r="W25" s="181"/>
      <c r="X25" s="166"/>
      <c r="Y25" s="166"/>
      <c r="Z25" s="183"/>
      <c r="AA25" s="166"/>
      <c r="AB25" s="166"/>
      <c r="AC25" s="166"/>
      <c r="AD25" s="166"/>
      <c r="AE25" s="167"/>
    </row>
    <row r="26" spans="2:33" ht="13.5" hidden="1" thickBot="1" x14ac:dyDescent="0.3">
      <c r="B26" s="154"/>
      <c r="C26" s="196" t="s">
        <v>287</v>
      </c>
      <c r="D26" s="198">
        <f>0.72*D22+0.2*D23+0.08*D24</f>
        <v>3.6040000000000003E-2</v>
      </c>
      <c r="E26" s="198"/>
      <c r="F26" s="165"/>
      <c r="G26" s="199"/>
      <c r="H26" s="155"/>
      <c r="I26" s="155"/>
      <c r="J26" s="166">
        <v>1</v>
      </c>
      <c r="K26" s="166">
        <f t="shared" ref="K26:AE26" si="1">J26+1</f>
        <v>2</v>
      </c>
      <c r="L26" s="166">
        <f t="shared" si="1"/>
        <v>3</v>
      </c>
      <c r="M26" s="166">
        <f t="shared" si="1"/>
        <v>4</v>
      </c>
      <c r="N26" s="166">
        <f t="shared" si="1"/>
        <v>5</v>
      </c>
      <c r="O26" s="166">
        <f t="shared" si="1"/>
        <v>6</v>
      </c>
      <c r="P26" s="166">
        <f t="shared" si="1"/>
        <v>7</v>
      </c>
      <c r="Q26" s="166">
        <f t="shared" si="1"/>
        <v>8</v>
      </c>
      <c r="R26" s="166">
        <f t="shared" si="1"/>
        <v>9</v>
      </c>
      <c r="S26" s="166">
        <f t="shared" si="1"/>
        <v>10</v>
      </c>
      <c r="T26" s="166">
        <f t="shared" si="1"/>
        <v>11</v>
      </c>
      <c r="U26" s="166">
        <f t="shared" si="1"/>
        <v>12</v>
      </c>
      <c r="V26" s="166">
        <f t="shared" si="1"/>
        <v>13</v>
      </c>
      <c r="W26" s="181">
        <f t="shared" si="1"/>
        <v>14</v>
      </c>
      <c r="X26" s="166">
        <f t="shared" si="1"/>
        <v>15</v>
      </c>
      <c r="Y26" s="166">
        <f t="shared" si="1"/>
        <v>16</v>
      </c>
      <c r="Z26" s="183">
        <f t="shared" si="1"/>
        <v>17</v>
      </c>
      <c r="AA26" s="166">
        <f t="shared" si="1"/>
        <v>18</v>
      </c>
      <c r="AB26" s="166">
        <f t="shared" si="1"/>
        <v>19</v>
      </c>
      <c r="AC26" s="166">
        <f t="shared" si="1"/>
        <v>20</v>
      </c>
      <c r="AD26" s="166">
        <f t="shared" si="1"/>
        <v>21</v>
      </c>
      <c r="AE26" s="166">
        <f t="shared" si="1"/>
        <v>22</v>
      </c>
    </row>
    <row r="27" spans="2:33" ht="13.5" hidden="1" thickBot="1" x14ac:dyDescent="0.3">
      <c r="B27" s="154"/>
      <c r="C27" s="196" t="s">
        <v>288</v>
      </c>
      <c r="D27" s="198">
        <f>D25</f>
        <v>0.03</v>
      </c>
      <c r="E27" s="198"/>
      <c r="F27" s="165"/>
      <c r="G27" s="199"/>
      <c r="H27" s="155"/>
      <c r="I27" s="155"/>
      <c r="J27" s="166"/>
      <c r="K27" s="166"/>
      <c r="L27" s="166"/>
      <c r="M27" s="166"/>
      <c r="N27" s="166"/>
      <c r="O27" s="166"/>
      <c r="P27" s="166"/>
      <c r="Q27" s="166"/>
      <c r="R27" s="166"/>
      <c r="S27" s="166"/>
      <c r="T27" s="166"/>
      <c r="U27" s="166"/>
      <c r="V27" s="166"/>
      <c r="W27" s="181"/>
      <c r="X27" s="166"/>
      <c r="Y27" s="166"/>
      <c r="Z27" s="183"/>
      <c r="AA27" s="166"/>
      <c r="AB27" s="166"/>
      <c r="AC27" s="166"/>
      <c r="AD27" s="166"/>
      <c r="AE27" s="167"/>
    </row>
    <row r="28" spans="2:33" s="206" customFormat="1" ht="13.5" hidden="1" thickBot="1" x14ac:dyDescent="0.3">
      <c r="B28" s="202"/>
      <c r="C28" s="196" t="s">
        <v>289</v>
      </c>
      <c r="D28" s="166"/>
      <c r="E28" s="203">
        <v>1.7000000000000001E-2</v>
      </c>
      <c r="F28" s="166"/>
      <c r="G28" s="204"/>
      <c r="H28" s="166"/>
      <c r="I28" s="166"/>
      <c r="J28" s="166"/>
      <c r="K28" s="166"/>
      <c r="L28" s="166"/>
      <c r="M28" s="166"/>
      <c r="N28" s="166"/>
      <c r="O28" s="166"/>
      <c r="P28" s="166"/>
      <c r="Q28" s="166"/>
      <c r="R28" s="166"/>
      <c r="S28" s="166"/>
      <c r="T28" s="166"/>
      <c r="U28" s="166"/>
      <c r="V28" s="166"/>
      <c r="W28" s="181"/>
      <c r="X28" s="166"/>
      <c r="Y28" s="166"/>
      <c r="Z28" s="183"/>
      <c r="AA28" s="166"/>
      <c r="AB28" s="166"/>
      <c r="AC28" s="166"/>
      <c r="AD28" s="166"/>
      <c r="AE28" s="167"/>
      <c r="AF28" s="205"/>
      <c r="AG28" s="205"/>
    </row>
    <row r="29" spans="2:33" s="206" customFormat="1" ht="13.5" hidden="1" thickBot="1" x14ac:dyDescent="0.3">
      <c r="B29" s="202"/>
      <c r="C29" s="196" t="s">
        <v>290</v>
      </c>
      <c r="D29" s="166"/>
      <c r="E29" s="203">
        <v>1.7000000000000001E-2</v>
      </c>
      <c r="F29" s="166"/>
      <c r="G29" s="194"/>
      <c r="H29" s="194"/>
      <c r="I29" s="194"/>
      <c r="J29" s="194"/>
      <c r="K29" s="194"/>
      <c r="L29" s="194"/>
      <c r="M29" s="194"/>
      <c r="N29" s="194"/>
      <c r="O29" s="194"/>
      <c r="P29" s="194"/>
      <c r="Q29" s="194"/>
      <c r="R29" s="194"/>
      <c r="S29" s="194"/>
      <c r="T29" s="194"/>
      <c r="U29" s="194"/>
      <c r="V29" s="194"/>
      <c r="W29" s="207"/>
      <c r="X29" s="194"/>
      <c r="Y29" s="194"/>
      <c r="Z29" s="208"/>
      <c r="AA29" s="194"/>
      <c r="AB29" s="194"/>
      <c r="AC29" s="194"/>
      <c r="AD29" s="194"/>
      <c r="AE29" s="209"/>
      <c r="AF29" s="205"/>
      <c r="AG29" s="205"/>
    </row>
    <row r="30" spans="2:33" ht="13.5" hidden="1" thickBot="1" x14ac:dyDescent="0.3">
      <c r="B30" s="154"/>
      <c r="C30" s="196" t="s">
        <v>291</v>
      </c>
      <c r="D30" s="155"/>
      <c r="E30" s="203">
        <v>1.7000000000000001E-2</v>
      </c>
      <c r="F30" s="155" t="s">
        <v>292</v>
      </c>
      <c r="G30" s="210">
        <f>4400*9/12</f>
        <v>3300</v>
      </c>
      <c r="H30" s="210">
        <v>3575</v>
      </c>
      <c r="I30" s="210">
        <v>2200</v>
      </c>
      <c r="J30" s="194">
        <v>0</v>
      </c>
      <c r="K30" s="194">
        <v>0</v>
      </c>
      <c r="L30" s="194">
        <v>0</v>
      </c>
      <c r="M30" s="194">
        <v>0</v>
      </c>
      <c r="N30" s="194">
        <v>0</v>
      </c>
      <c r="O30" s="194">
        <v>0</v>
      </c>
      <c r="P30" s="194">
        <v>0</v>
      </c>
      <c r="Q30" s="194">
        <v>0</v>
      </c>
      <c r="R30" s="194">
        <v>0</v>
      </c>
      <c r="S30" s="194">
        <v>0</v>
      </c>
      <c r="T30" s="194">
        <v>0</v>
      </c>
      <c r="U30" s="194">
        <v>0</v>
      </c>
      <c r="V30" s="194">
        <v>0</v>
      </c>
      <c r="W30" s="207">
        <v>0</v>
      </c>
      <c r="X30" s="194">
        <v>0</v>
      </c>
      <c r="Y30" s="194">
        <v>0</v>
      </c>
      <c r="Z30" s="208">
        <v>0</v>
      </c>
      <c r="AA30" s="194">
        <v>0</v>
      </c>
      <c r="AB30" s="194">
        <v>0</v>
      </c>
      <c r="AC30" s="194">
        <v>0</v>
      </c>
      <c r="AD30" s="194">
        <v>0</v>
      </c>
      <c r="AE30" s="194">
        <v>0</v>
      </c>
    </row>
    <row r="31" spans="2:33" ht="13.5" hidden="1" thickBot="1" x14ac:dyDescent="0.3">
      <c r="B31" s="154"/>
      <c r="C31" s="196" t="s">
        <v>293</v>
      </c>
      <c r="D31" s="155"/>
      <c r="E31" s="203">
        <v>1.7000000000000001E-2</v>
      </c>
      <c r="F31" s="155" t="s">
        <v>294</v>
      </c>
      <c r="G31" s="211">
        <v>12.7</v>
      </c>
      <c r="H31" s="211">
        <v>12.7</v>
      </c>
      <c r="I31" s="211">
        <v>12.7</v>
      </c>
      <c r="J31" s="194"/>
      <c r="K31" s="194"/>
      <c r="L31" s="194"/>
      <c r="M31" s="194"/>
      <c r="N31" s="194"/>
      <c r="O31" s="194"/>
      <c r="P31" s="194"/>
      <c r="Q31" s="194"/>
      <c r="R31" s="194"/>
      <c r="S31" s="194"/>
      <c r="T31" s="194"/>
      <c r="U31" s="194"/>
      <c r="V31" s="194"/>
      <c r="W31" s="207"/>
      <c r="X31" s="194"/>
      <c r="Y31" s="194"/>
      <c r="Z31" s="208"/>
      <c r="AA31" s="194"/>
      <c r="AB31" s="194"/>
      <c r="AC31" s="194"/>
      <c r="AD31" s="194"/>
      <c r="AE31" s="209"/>
    </row>
    <row r="32" spans="2:33" ht="13.5" hidden="1" thickBot="1" x14ac:dyDescent="0.3">
      <c r="B32" s="161" t="s">
        <v>295</v>
      </c>
      <c r="C32" s="212" t="s">
        <v>296</v>
      </c>
      <c r="D32" s="155"/>
      <c r="E32" s="213">
        <v>0.03</v>
      </c>
      <c r="F32" s="155" t="s">
        <v>297</v>
      </c>
      <c r="G32" s="211">
        <v>0.8</v>
      </c>
      <c r="H32" s="211">
        <v>0.8</v>
      </c>
      <c r="I32" s="211">
        <v>0.8</v>
      </c>
      <c r="J32" s="211">
        <v>0.8</v>
      </c>
      <c r="K32" s="211">
        <v>0.8</v>
      </c>
      <c r="L32" s="211">
        <v>0.8</v>
      </c>
      <c r="M32" s="211">
        <v>0.8</v>
      </c>
      <c r="N32" s="211">
        <v>0.8</v>
      </c>
      <c r="O32" s="211">
        <v>0.8</v>
      </c>
      <c r="P32" s="211">
        <v>0.8</v>
      </c>
      <c r="Q32" s="211">
        <v>0.8</v>
      </c>
      <c r="R32" s="211">
        <v>0.8</v>
      </c>
      <c r="S32" s="211">
        <v>0.8</v>
      </c>
      <c r="T32" s="211">
        <v>0.8</v>
      </c>
      <c r="U32" s="211">
        <v>0.8</v>
      </c>
      <c r="V32" s="211">
        <v>0.8</v>
      </c>
      <c r="W32" s="214">
        <v>0.8</v>
      </c>
      <c r="X32" s="211">
        <v>0.8</v>
      </c>
      <c r="Y32" s="211">
        <v>0.8</v>
      </c>
      <c r="Z32" s="215">
        <v>0.8</v>
      </c>
      <c r="AA32" s="211">
        <v>0.8</v>
      </c>
      <c r="AB32" s="211">
        <v>0.8</v>
      </c>
      <c r="AC32" s="211">
        <v>0.8</v>
      </c>
      <c r="AD32" s="211">
        <v>0.8</v>
      </c>
      <c r="AE32" s="211">
        <v>0.8</v>
      </c>
    </row>
    <row r="33" spans="2:35" ht="13.5" hidden="1" thickBot="1" x14ac:dyDescent="0.3">
      <c r="B33" s="154"/>
      <c r="C33" s="212" t="s">
        <v>298</v>
      </c>
      <c r="D33" s="155"/>
      <c r="E33" s="216">
        <v>0.36499999999999999</v>
      </c>
      <c r="F33" s="155"/>
      <c r="G33" s="211"/>
      <c r="H33" s="211"/>
      <c r="I33" s="211"/>
      <c r="J33" s="194"/>
      <c r="K33" s="194"/>
      <c r="L33" s="194"/>
      <c r="M33" s="194"/>
      <c r="N33" s="194"/>
      <c r="O33" s="194"/>
      <c r="P33" s="194"/>
      <c r="Q33" s="194"/>
      <c r="R33" s="194"/>
      <c r="S33" s="194"/>
      <c r="T33" s="194"/>
      <c r="U33" s="194"/>
      <c r="V33" s="194"/>
      <c r="W33" s="207"/>
      <c r="X33" s="194"/>
      <c r="Y33" s="194"/>
      <c r="Z33" s="208"/>
      <c r="AA33" s="194"/>
      <c r="AB33" s="194"/>
      <c r="AC33" s="194"/>
      <c r="AD33" s="194"/>
      <c r="AE33" s="209"/>
    </row>
    <row r="34" spans="2:35" ht="13.5" hidden="1" thickBot="1" x14ac:dyDescent="0.3">
      <c r="B34" s="154"/>
      <c r="C34" s="212"/>
      <c r="D34" s="155"/>
      <c r="E34" s="216"/>
      <c r="F34" s="217" t="s">
        <v>299</v>
      </c>
      <c r="G34" s="218">
        <f t="shared" ref="G34:AE34" si="2">$Y$19*(1+$E$28)^(G1-2010)</f>
        <v>0</v>
      </c>
      <c r="H34" s="218">
        <f t="shared" si="2"/>
        <v>0</v>
      </c>
      <c r="I34" s="218">
        <f t="shared" si="2"/>
        <v>0</v>
      </c>
      <c r="J34" s="219">
        <f t="shared" si="2"/>
        <v>0</v>
      </c>
      <c r="K34" s="219">
        <f t="shared" si="2"/>
        <v>0</v>
      </c>
      <c r="L34" s="219">
        <f t="shared" si="2"/>
        <v>0</v>
      </c>
      <c r="M34" s="219">
        <f t="shared" si="2"/>
        <v>0</v>
      </c>
      <c r="N34" s="219">
        <f t="shared" si="2"/>
        <v>0</v>
      </c>
      <c r="O34" s="219">
        <f t="shared" si="2"/>
        <v>0</v>
      </c>
      <c r="P34" s="219">
        <f t="shared" si="2"/>
        <v>0</v>
      </c>
      <c r="Q34" s="219">
        <f t="shared" si="2"/>
        <v>0</v>
      </c>
      <c r="R34" s="219">
        <f t="shared" si="2"/>
        <v>0</v>
      </c>
      <c r="S34" s="219">
        <f t="shared" si="2"/>
        <v>0</v>
      </c>
      <c r="T34" s="219">
        <f t="shared" si="2"/>
        <v>0</v>
      </c>
      <c r="U34" s="219">
        <f t="shared" si="2"/>
        <v>0</v>
      </c>
      <c r="V34" s="219">
        <f t="shared" si="2"/>
        <v>0</v>
      </c>
      <c r="W34" s="220">
        <f t="shared" si="2"/>
        <v>0</v>
      </c>
      <c r="X34" s="219">
        <f t="shared" si="2"/>
        <v>0</v>
      </c>
      <c r="Y34" s="219">
        <f t="shared" si="2"/>
        <v>0</v>
      </c>
      <c r="Z34" s="221">
        <f t="shared" si="2"/>
        <v>0</v>
      </c>
      <c r="AA34" s="219">
        <f t="shared" si="2"/>
        <v>0</v>
      </c>
      <c r="AB34" s="219">
        <f t="shared" si="2"/>
        <v>0</v>
      </c>
      <c r="AC34" s="219">
        <f t="shared" si="2"/>
        <v>0</v>
      </c>
      <c r="AD34" s="219">
        <f t="shared" si="2"/>
        <v>0</v>
      </c>
      <c r="AE34" s="222">
        <f t="shared" si="2"/>
        <v>0</v>
      </c>
      <c r="AH34" s="223"/>
      <c r="AI34" s="223"/>
    </row>
    <row r="35" spans="2:35" ht="13.5" hidden="1" thickBot="1" x14ac:dyDescent="0.3">
      <c r="B35" s="154"/>
      <c r="C35" s="212"/>
      <c r="D35" s="155"/>
      <c r="E35" s="216"/>
      <c r="F35" s="166"/>
      <c r="G35" s="211"/>
      <c r="H35" s="211"/>
      <c r="I35" s="211"/>
      <c r="J35" s="194"/>
      <c r="K35" s="194"/>
      <c r="L35" s="194"/>
      <c r="M35" s="194"/>
      <c r="N35" s="194"/>
      <c r="O35" s="194"/>
      <c r="P35" s="194"/>
      <c r="Q35" s="194"/>
      <c r="R35" s="194"/>
      <c r="S35" s="194"/>
      <c r="T35" s="194"/>
      <c r="U35" s="194"/>
      <c r="V35" s="194"/>
      <c r="W35" s="207"/>
      <c r="X35" s="194"/>
      <c r="Y35" s="194"/>
      <c r="Z35" s="208"/>
      <c r="AA35" s="194"/>
      <c r="AB35" s="194"/>
      <c r="AC35" s="194"/>
      <c r="AD35" s="194"/>
      <c r="AE35" s="209"/>
    </row>
    <row r="36" spans="2:35" ht="13.5" hidden="1" thickBot="1" x14ac:dyDescent="0.3">
      <c r="B36" s="154"/>
      <c r="C36" s="155"/>
      <c r="D36" s="155"/>
      <c r="E36" s="224" t="s">
        <v>300</v>
      </c>
      <c r="F36" s="155"/>
      <c r="G36" s="211"/>
      <c r="H36" s="211"/>
      <c r="I36" s="211"/>
      <c r="J36" s="194"/>
      <c r="K36" s="194"/>
      <c r="L36" s="194"/>
      <c r="M36" s="194"/>
      <c r="N36" s="194"/>
      <c r="O36" s="194"/>
      <c r="P36" s="194"/>
      <c r="Q36" s="194"/>
      <c r="R36" s="194"/>
      <c r="S36" s="194"/>
      <c r="T36" s="194"/>
      <c r="U36" s="194"/>
      <c r="V36" s="194"/>
      <c r="W36" s="207"/>
      <c r="X36" s="225"/>
      <c r="Y36" s="225"/>
      <c r="Z36" s="208"/>
      <c r="AA36" s="194"/>
      <c r="AB36" s="194"/>
      <c r="AC36" s="194"/>
      <c r="AD36" s="194"/>
      <c r="AE36" s="209"/>
    </row>
    <row r="37" spans="2:35" x14ac:dyDescent="0.25">
      <c r="B37" s="562" t="s">
        <v>301</v>
      </c>
      <c r="C37" s="226"/>
      <c r="D37" s="226"/>
      <c r="E37" s="226"/>
      <c r="F37" s="155" t="s">
        <v>302</v>
      </c>
      <c r="G37" s="226"/>
      <c r="H37" s="226"/>
      <c r="I37" s="226"/>
      <c r="J37" s="182"/>
      <c r="K37" s="182"/>
      <c r="L37" s="182"/>
      <c r="M37" s="182"/>
      <c r="N37" s="182"/>
      <c r="O37" s="182"/>
      <c r="P37" s="182"/>
      <c r="Q37" s="182"/>
      <c r="R37" s="182"/>
      <c r="S37" s="182"/>
      <c r="T37" s="182"/>
      <c r="U37" s="182"/>
      <c r="V37" s="182"/>
      <c r="W37" s="182"/>
      <c r="X37" s="182"/>
      <c r="Y37" s="182"/>
      <c r="Z37" s="182"/>
      <c r="AA37" s="182"/>
      <c r="AB37" s="182"/>
      <c r="AC37" s="182"/>
      <c r="AD37" s="182"/>
      <c r="AE37" s="227"/>
    </row>
    <row r="38" spans="2:35" x14ac:dyDescent="0.25">
      <c r="B38" s="563"/>
      <c r="C38" s="155"/>
      <c r="D38" s="155"/>
      <c r="F38" s="228">
        <v>13931608</v>
      </c>
      <c r="G38" s="229">
        <f>$H$85/200*G9*$F$38*(0.2279*(1+$D$27)^(G1-2008)+0.7721*(1+$D$26)^(G1-2008))*9/12</f>
        <v>2729695.408039453</v>
      </c>
      <c r="H38" s="229">
        <f t="shared" ref="H38:AE38" si="3">$H$85/200*H9*$F$38*(0.2279*(1+$D$27)^(H1-2008)+0.7721*(1+$D$26)^(H1-2008))</f>
        <v>3811958.9091077596</v>
      </c>
      <c r="I38" s="229">
        <f t="shared" si="3"/>
        <v>3964412.6667574611</v>
      </c>
      <c r="J38" s="230">
        <f t="shared" si="3"/>
        <v>4114604.2556820759</v>
      </c>
      <c r="K38" s="230">
        <f t="shared" si="3"/>
        <v>4261746.629594313</v>
      </c>
      <c r="L38" s="230">
        <f t="shared" si="3"/>
        <v>4414181.699747026</v>
      </c>
      <c r="M38" s="230">
        <f t="shared" si="3"/>
        <v>4581566.9069083435</v>
      </c>
      <c r="N38" s="230">
        <f t="shared" si="3"/>
        <v>4750440.1205425104</v>
      </c>
      <c r="O38" s="230">
        <f t="shared" si="3"/>
        <v>4895057.3553675776</v>
      </c>
      <c r="P38" s="230">
        <f t="shared" si="3"/>
        <v>5059809.3622304434</v>
      </c>
      <c r="Q38" s="230">
        <f t="shared" si="3"/>
        <v>5257241.5071181403</v>
      </c>
      <c r="R38" s="230">
        <f t="shared" si="3"/>
        <v>5451158.0856118249</v>
      </c>
      <c r="S38" s="230">
        <f t="shared" si="3"/>
        <v>5652284.3669502921</v>
      </c>
      <c r="T38" s="230">
        <f t="shared" si="3"/>
        <v>5874519.3850259138</v>
      </c>
      <c r="U38" s="230">
        <f t="shared" si="3"/>
        <v>6088363.2797984313</v>
      </c>
      <c r="V38" s="230">
        <f t="shared" si="3"/>
        <v>6309821.0263044238</v>
      </c>
      <c r="W38" s="230">
        <f t="shared" si="3"/>
        <v>6539184.251582115</v>
      </c>
      <c r="X38" s="230">
        <f t="shared" si="3"/>
        <v>6776752.6643729974</v>
      </c>
      <c r="Y38" s="230">
        <f t="shared" si="3"/>
        <v>7022834.9046295378</v>
      </c>
      <c r="Z38" s="230">
        <f t="shared" si="3"/>
        <v>7277749.2823963091</v>
      </c>
      <c r="AA38" s="230">
        <f t="shared" si="3"/>
        <v>7541824.4435150884</v>
      </c>
      <c r="AB38" s="230">
        <f t="shared" si="3"/>
        <v>7815399.9874614272</v>
      </c>
      <c r="AC38" s="230">
        <f t="shared" si="3"/>
        <v>8098827.0548403626</v>
      </c>
      <c r="AD38" s="230">
        <f t="shared" si="3"/>
        <v>8392468.8969695456</v>
      </c>
      <c r="AE38" s="230">
        <f t="shared" si="3"/>
        <v>8696701.436567029</v>
      </c>
      <c r="AF38" s="231"/>
    </row>
    <row r="39" spans="2:35" x14ac:dyDescent="0.25">
      <c r="B39" s="563"/>
      <c r="C39" s="155"/>
      <c r="D39" s="155"/>
      <c r="E39" s="565" t="s">
        <v>303</v>
      </c>
      <c r="F39" s="565" t="s">
        <v>304</v>
      </c>
      <c r="G39" s="229">
        <v>40000000</v>
      </c>
      <c r="H39" s="229">
        <v>48000000</v>
      </c>
      <c r="I39" s="229">
        <f t="shared" ref="I39:AE39" si="4">H39*(1+E28)^(1+I26)*I11</f>
        <v>49304159.999999993</v>
      </c>
      <c r="J39" s="229">
        <f t="shared" si="4"/>
        <v>49846505.75999999</v>
      </c>
      <c r="K39" s="229">
        <f t="shared" si="4"/>
        <v>50444663.829119988</v>
      </c>
      <c r="L39" s="229">
        <f t="shared" si="4"/>
        <v>51100444.458898544</v>
      </c>
      <c r="M39" s="229">
        <f t="shared" si="4"/>
        <v>51815850.681323126</v>
      </c>
      <c r="N39" s="229">
        <f t="shared" si="4"/>
        <v>52593088.441542968</v>
      </c>
      <c r="O39" s="229">
        <f t="shared" si="4"/>
        <v>53381984.76816611</v>
      </c>
      <c r="P39" s="229">
        <f t="shared" si="4"/>
        <v>54236096.524456769</v>
      </c>
      <c r="Q39" s="229">
        <f t="shared" si="4"/>
        <v>55103874.068848081</v>
      </c>
      <c r="R39" s="229">
        <f t="shared" si="4"/>
        <v>56040639.928018495</v>
      </c>
      <c r="S39" s="229">
        <f t="shared" si="4"/>
        <v>56993330.806794807</v>
      </c>
      <c r="T39" s="229">
        <f t="shared" si="4"/>
        <v>58019210.761317112</v>
      </c>
      <c r="U39" s="229">
        <f t="shared" si="4"/>
        <v>59063556.555020824</v>
      </c>
      <c r="V39" s="229">
        <f t="shared" si="4"/>
        <v>60126700.573011197</v>
      </c>
      <c r="W39" s="229">
        <f t="shared" si="4"/>
        <v>61208981.183325402</v>
      </c>
      <c r="X39" s="229">
        <f t="shared" si="4"/>
        <v>62371951.825808577</v>
      </c>
      <c r="Y39" s="229">
        <f t="shared" si="4"/>
        <v>63557018.910498932</v>
      </c>
      <c r="Z39" s="229">
        <f t="shared" si="4"/>
        <v>64764602.269798405</v>
      </c>
      <c r="AA39" s="229">
        <f t="shared" si="4"/>
        <v>66059894.315194376</v>
      </c>
      <c r="AB39" s="229">
        <f t="shared" si="4"/>
        <v>67381092.20149827</v>
      </c>
      <c r="AC39" s="229">
        <f t="shared" si="4"/>
        <v>68728714.045528233</v>
      </c>
      <c r="AD39" s="229">
        <f t="shared" si="4"/>
        <v>70103288.3264388</v>
      </c>
      <c r="AE39" s="229">
        <f t="shared" si="4"/>
        <v>71505354.09296757</v>
      </c>
      <c r="AF39" s="231"/>
    </row>
    <row r="40" spans="2:35" ht="44.25" customHeight="1" x14ac:dyDescent="0.25">
      <c r="B40" s="563"/>
      <c r="C40" s="155"/>
      <c r="D40" s="155"/>
      <c r="E40" s="565"/>
      <c r="F40" s="565"/>
      <c r="G40" s="229"/>
      <c r="H40" s="229"/>
      <c r="I40" s="229"/>
      <c r="J40" s="230"/>
      <c r="K40" s="232"/>
      <c r="L40" s="230"/>
      <c r="M40" s="230"/>
      <c r="N40" s="230"/>
      <c r="O40" s="230"/>
      <c r="P40" s="230"/>
      <c r="Q40" s="230"/>
      <c r="R40" s="230"/>
      <c r="S40" s="230"/>
      <c r="T40" s="230"/>
      <c r="U40" s="230"/>
      <c r="V40" s="230"/>
      <c r="W40" s="230"/>
      <c r="X40" s="230"/>
      <c r="Y40" s="232"/>
      <c r="Z40" s="230"/>
      <c r="AA40" s="230"/>
      <c r="AB40" s="230"/>
      <c r="AC40" s="230"/>
      <c r="AD40" s="230"/>
      <c r="AE40" s="230"/>
      <c r="AF40" s="233"/>
    </row>
    <row r="41" spans="2:35" ht="1.5" customHeight="1" x14ac:dyDescent="0.25">
      <c r="B41" s="563"/>
      <c r="C41" s="155"/>
      <c r="D41" s="155"/>
      <c r="E41" s="565"/>
      <c r="F41" s="565"/>
      <c r="G41" s="229"/>
      <c r="H41" s="229"/>
      <c r="I41" s="229"/>
      <c r="J41" s="230"/>
      <c r="K41" s="230"/>
      <c r="L41" s="230"/>
      <c r="M41" s="230"/>
      <c r="N41" s="230"/>
      <c r="O41" s="230"/>
      <c r="P41" s="230"/>
      <c r="Q41" s="230"/>
      <c r="R41" s="230"/>
      <c r="S41" s="230"/>
      <c r="T41" s="230"/>
      <c r="U41" s="230"/>
      <c r="V41" s="230"/>
      <c r="W41" s="230"/>
      <c r="X41" s="230"/>
      <c r="Y41" s="230"/>
      <c r="Z41" s="230"/>
      <c r="AA41" s="230"/>
      <c r="AB41" s="230"/>
      <c r="AC41" s="230"/>
      <c r="AD41" s="230"/>
      <c r="AE41" s="230"/>
      <c r="AF41" s="231"/>
    </row>
    <row r="42" spans="2:35" ht="2.25" hidden="1" customHeight="1" x14ac:dyDescent="0.25">
      <c r="B42" s="563"/>
      <c r="C42" s="155"/>
      <c r="D42" s="155"/>
      <c r="E42" s="565"/>
      <c r="F42" s="565"/>
      <c r="G42" s="229"/>
      <c r="H42" s="229"/>
      <c r="I42" s="229"/>
      <c r="J42" s="230"/>
      <c r="K42" s="230"/>
      <c r="L42" s="230"/>
      <c r="M42" s="230"/>
      <c r="N42" s="230"/>
      <c r="O42" s="230"/>
      <c r="P42" s="230"/>
      <c r="Q42" s="230"/>
      <c r="R42" s="230"/>
      <c r="S42" s="230"/>
      <c r="T42" s="230"/>
      <c r="U42" s="230"/>
      <c r="V42" s="230"/>
      <c r="W42" s="230"/>
      <c r="X42" s="230"/>
      <c r="Y42" s="230"/>
      <c r="Z42" s="230"/>
      <c r="AA42" s="230"/>
      <c r="AB42" s="230"/>
      <c r="AC42" s="230"/>
      <c r="AD42" s="230"/>
      <c r="AE42" s="230"/>
      <c r="AF42" s="231"/>
    </row>
    <row r="43" spans="2:35" ht="26.25" customHeight="1" x14ac:dyDescent="0.25">
      <c r="B43" s="563"/>
      <c r="C43" s="234">
        <v>3657410</v>
      </c>
      <c r="D43" s="155"/>
      <c r="F43" s="155" t="s">
        <v>305</v>
      </c>
      <c r="G43" s="229">
        <f>$H$85/200*$C$43*G9*(1+$E$31)^(G1-2010)*9/12</f>
        <v>669400.05393157515</v>
      </c>
      <c r="H43" s="229">
        <f t="shared" ref="H43:AE43" si="5">$H$85/200*$C$43*H9*(1+$E$31)^(H1-2010)</f>
        <v>918832.59946173127</v>
      </c>
      <c r="I43" s="229">
        <f t="shared" si="5"/>
        <v>939249.739040941</v>
      </c>
      <c r="J43" s="230">
        <f t="shared" si="5"/>
        <v>958168.22142627835</v>
      </c>
      <c r="K43" s="230">
        <f t="shared" si="5"/>
        <v>975461.6761195875</v>
      </c>
      <c r="L43" s="230">
        <f t="shared" si="5"/>
        <v>993068.30637276755</v>
      </c>
      <c r="M43" s="230">
        <f t="shared" si="5"/>
        <v>1013086.9597164496</v>
      </c>
      <c r="N43" s="230">
        <f t="shared" si="5"/>
        <v>1032447.0094798274</v>
      </c>
      <c r="O43" s="230">
        <f t="shared" si="5"/>
        <v>1045659.7714151953</v>
      </c>
      <c r="P43" s="230">
        <f t="shared" si="5"/>
        <v>1062338.5303697807</v>
      </c>
      <c r="Q43" s="230">
        <f t="shared" si="5"/>
        <v>1084876.6202477708</v>
      </c>
      <c r="R43" s="230">
        <f t="shared" si="5"/>
        <v>1105610.9444384873</v>
      </c>
      <c r="S43" s="230">
        <f t="shared" si="5"/>
        <v>1126746.4061037104</v>
      </c>
      <c r="T43" s="230">
        <f t="shared" si="5"/>
        <v>1150961.1114984832</v>
      </c>
      <c r="U43" s="230">
        <f t="shared" si="5"/>
        <v>1172391.0911803225</v>
      </c>
      <c r="V43" s="230">
        <f t="shared" si="5"/>
        <v>1194180.9983026925</v>
      </c>
      <c r="W43" s="230">
        <f t="shared" si="5"/>
        <v>1216341.1035726315</v>
      </c>
      <c r="X43" s="230">
        <f t="shared" si="5"/>
        <v>1238881.2338450504</v>
      </c>
      <c r="Y43" s="230">
        <f t="shared" si="5"/>
        <v>1261810.9005750699</v>
      </c>
      <c r="Z43" s="230">
        <f t="shared" si="5"/>
        <v>1285139.3956209046</v>
      </c>
      <c r="AA43" s="230">
        <f t="shared" si="5"/>
        <v>1308875.8640441105</v>
      </c>
      <c r="AB43" s="230">
        <f t="shared" si="5"/>
        <v>1333029.3603940364</v>
      </c>
      <c r="AC43" s="230">
        <f t="shared" si="5"/>
        <v>1357608.8929325687</v>
      </c>
      <c r="AD43" s="230">
        <f t="shared" si="5"/>
        <v>1382623.4589194027</v>
      </c>
      <c r="AE43" s="230">
        <f t="shared" si="5"/>
        <v>1408082.0731807076</v>
      </c>
      <c r="AF43" s="233"/>
    </row>
    <row r="44" spans="2:35" ht="25.5" x14ac:dyDescent="0.25">
      <c r="B44" s="563"/>
      <c r="C44" s="155"/>
      <c r="D44" s="155"/>
      <c r="F44" s="235" t="s">
        <v>306</v>
      </c>
      <c r="G44" s="230">
        <f t="shared" ref="G44:AE44" si="6">-G13/250*G39</f>
        <v>0</v>
      </c>
      <c r="H44" s="230">
        <f>-H13/250*H39</f>
        <v>-384000</v>
      </c>
      <c r="I44" s="230">
        <f t="shared" si="6"/>
        <v>-394433.27999999997</v>
      </c>
      <c r="J44" s="230">
        <f t="shared" si="6"/>
        <v>-5582808.6451199986</v>
      </c>
      <c r="K44" s="230">
        <f t="shared" si="6"/>
        <v>-605335.96594943991</v>
      </c>
      <c r="L44" s="230">
        <f t="shared" si="6"/>
        <v>-817607.11134237668</v>
      </c>
      <c r="M44" s="230">
        <f t="shared" si="6"/>
        <v>-7046955.6926599452</v>
      </c>
      <c r="N44" s="230">
        <f t="shared" si="6"/>
        <v>-631117.06129851565</v>
      </c>
      <c r="O44" s="230">
        <f t="shared" si="6"/>
        <v>-640583.81721799332</v>
      </c>
      <c r="P44" s="230">
        <f t="shared" si="6"/>
        <v>-9762497.3744022176</v>
      </c>
      <c r="Q44" s="230">
        <f t="shared" si="6"/>
        <v>-661246.48882617697</v>
      </c>
      <c r="R44" s="230">
        <f t="shared" si="6"/>
        <v>-896650.23884829599</v>
      </c>
      <c r="S44" s="230">
        <f t="shared" si="6"/>
        <v>-7751092.989724094</v>
      </c>
      <c r="T44" s="230">
        <f t="shared" si="6"/>
        <v>-696230.52913580532</v>
      </c>
      <c r="U44" s="230">
        <f t="shared" si="6"/>
        <v>-708762.67866024992</v>
      </c>
      <c r="V44" s="230">
        <f t="shared" si="6"/>
        <v>0</v>
      </c>
      <c r="W44" s="230">
        <f t="shared" si="6"/>
        <v>-11017616.612998571</v>
      </c>
      <c r="X44" s="230">
        <f t="shared" si="6"/>
        <v>-748463.42190970294</v>
      </c>
      <c r="Y44" s="230">
        <f t="shared" si="6"/>
        <v>-1016912.3025679829</v>
      </c>
      <c r="Z44" s="230">
        <f t="shared" si="6"/>
        <v>-8807985.9086925834</v>
      </c>
      <c r="AA44" s="230">
        <f t="shared" si="6"/>
        <v>-792718.73178233253</v>
      </c>
      <c r="AB44" s="230">
        <f t="shared" si="6"/>
        <v>-1078097.4752239722</v>
      </c>
      <c r="AC44" s="230">
        <f t="shared" si="6"/>
        <v>-12371168.528195081</v>
      </c>
      <c r="AD44" s="230">
        <f t="shared" si="6"/>
        <v>-841239.45991726557</v>
      </c>
      <c r="AE44" s="230">
        <f t="shared" si="6"/>
        <v>-1144085.665487481</v>
      </c>
      <c r="AF44" s="233"/>
    </row>
    <row r="45" spans="2:35" x14ac:dyDescent="0.25">
      <c r="B45" s="563"/>
      <c r="C45" s="155"/>
      <c r="D45" s="155"/>
      <c r="F45" s="236" t="s">
        <v>307</v>
      </c>
      <c r="G45" s="237">
        <f t="shared" ref="G45:AE45" si="7">SUM(G38:G44)</f>
        <v>43399095.461971022</v>
      </c>
      <c r="H45" s="237">
        <f t="shared" si="7"/>
        <v>52346791.508569494</v>
      </c>
      <c r="I45" s="237">
        <f t="shared" si="7"/>
        <v>53813389.125798397</v>
      </c>
      <c r="J45" s="237">
        <f t="shared" si="7"/>
        <v>49336469.59198834</v>
      </c>
      <c r="K45" s="237">
        <f t="shared" si="7"/>
        <v>55076536.168884449</v>
      </c>
      <c r="L45" s="237">
        <f t="shared" si="7"/>
        <v>55690087.353675961</v>
      </c>
      <c r="M45" s="237">
        <f t="shared" si="7"/>
        <v>50363548.855287969</v>
      </c>
      <c r="N45" s="237">
        <f t="shared" si="7"/>
        <v>57744858.510266796</v>
      </c>
      <c r="O45" s="237">
        <f t="shared" si="7"/>
        <v>58682118.077730894</v>
      </c>
      <c r="P45" s="237">
        <f t="shared" si="7"/>
        <v>50595747.042654775</v>
      </c>
      <c r="Q45" s="237">
        <f t="shared" si="7"/>
        <v>60784745.70738782</v>
      </c>
      <c r="R45" s="237">
        <f t="shared" si="7"/>
        <v>61700758.719220512</v>
      </c>
      <c r="S45" s="237">
        <f t="shared" si="7"/>
        <v>56021268.590124711</v>
      </c>
      <c r="T45" s="237">
        <f t="shared" si="7"/>
        <v>64348460.728705697</v>
      </c>
      <c r="U45" s="237">
        <f t="shared" si="7"/>
        <v>65615548.247339331</v>
      </c>
      <c r="V45" s="237">
        <f t="shared" si="7"/>
        <v>67630702.597618312</v>
      </c>
      <c r="W45" s="237">
        <f t="shared" si="7"/>
        <v>57946889.925481573</v>
      </c>
      <c r="X45" s="237">
        <f t="shared" si="7"/>
        <v>69639122.30211693</v>
      </c>
      <c r="Y45" s="237">
        <f t="shared" si="7"/>
        <v>70824752.413135558</v>
      </c>
      <c r="Z45" s="237">
        <f t="shared" si="7"/>
        <v>64519505.039123029</v>
      </c>
      <c r="AA45" s="237">
        <f t="shared" si="7"/>
        <v>74117875.890971243</v>
      </c>
      <c r="AB45" s="237">
        <f t="shared" si="7"/>
        <v>75451424.07412976</v>
      </c>
      <c r="AC45" s="237">
        <f t="shared" si="7"/>
        <v>65813981.46510607</v>
      </c>
      <c r="AD45" s="237">
        <f t="shared" si="7"/>
        <v>79037141.222410485</v>
      </c>
      <c r="AE45" s="237">
        <f t="shared" si="7"/>
        <v>80466051.937227815</v>
      </c>
    </row>
    <row r="46" spans="2:35" ht="13.5" thickBot="1" x14ac:dyDescent="0.3">
      <c r="B46" s="564"/>
      <c r="C46" s="238"/>
      <c r="D46" s="238"/>
      <c r="E46" s="238"/>
      <c r="F46" s="238" t="s">
        <v>308</v>
      </c>
      <c r="G46" s="239">
        <f t="shared" ref="G46:AE46" si="8">0.0016*G51</f>
        <v>93399.088000000003</v>
      </c>
      <c r="H46" s="239">
        <f t="shared" si="8"/>
        <v>113951.51120000001</v>
      </c>
      <c r="I46" s="239">
        <f t="shared" si="8"/>
        <v>113981.853952</v>
      </c>
      <c r="J46" s="240">
        <f t="shared" si="8"/>
        <v>100727.20290258575</v>
      </c>
      <c r="K46" s="240">
        <f t="shared" si="8"/>
        <v>110708.18364335551</v>
      </c>
      <c r="L46" s="240">
        <f t="shared" si="8"/>
        <v>111762.38133480234</v>
      </c>
      <c r="M46" s="240">
        <f t="shared" si="8"/>
        <v>100302.63403265738</v>
      </c>
      <c r="N46" s="240">
        <f t="shared" si="8"/>
        <v>115462.10113266583</v>
      </c>
      <c r="O46" s="240">
        <f t="shared" si="8"/>
        <v>117259.51195462106</v>
      </c>
      <c r="P46" s="240">
        <f t="shared" si="8"/>
        <v>99979.128510454713</v>
      </c>
      <c r="Q46" s="240">
        <f t="shared" si="8"/>
        <v>121022.20619785145</v>
      </c>
      <c r="R46" s="240">
        <f t="shared" si="8"/>
        <v>122520.96674809972</v>
      </c>
      <c r="S46" s="240">
        <f t="shared" si="8"/>
        <v>110269.83723414299</v>
      </c>
      <c r="T46" s="240">
        <f t="shared" si="8"/>
        <v>127205.53359840182</v>
      </c>
      <c r="U46" s="240">
        <f t="shared" si="8"/>
        <v>129459.008921449</v>
      </c>
      <c r="V46" s="240">
        <f t="shared" si="8"/>
        <v>133262.6388506887</v>
      </c>
      <c r="W46" s="240">
        <f t="shared" si="8"/>
        <v>112568.11019345718</v>
      </c>
      <c r="X46" s="240">
        <f t="shared" si="8"/>
        <v>136459.10832942193</v>
      </c>
      <c r="Y46" s="240">
        <f t="shared" si="8"/>
        <v>138443.15919576451</v>
      </c>
      <c r="Z46" s="240">
        <f t="shared" si="8"/>
        <v>124764.78520592235</v>
      </c>
      <c r="AA46" s="240">
        <f t="shared" si="8"/>
        <v>144141.82176385171</v>
      </c>
      <c r="AB46" s="240">
        <f t="shared" si="8"/>
        <v>146340.64675625283</v>
      </c>
      <c r="AC46" s="240">
        <f t="shared" si="8"/>
        <v>125668.50934942289</v>
      </c>
      <c r="AD46" s="240">
        <f t="shared" si="8"/>
        <v>152583.90472591011</v>
      </c>
      <c r="AE46" s="240">
        <f t="shared" si="8"/>
        <v>154912.09651944513</v>
      </c>
    </row>
    <row r="47" spans="2:35" ht="83.25" customHeight="1" x14ac:dyDescent="0.25">
      <c r="B47" s="562" t="s">
        <v>309</v>
      </c>
      <c r="C47" s="241"/>
      <c r="D47" s="241"/>
      <c r="E47" s="242" t="s">
        <v>310</v>
      </c>
      <c r="F47" s="243" t="s">
        <v>311</v>
      </c>
      <c r="G47" s="244">
        <f>'[1]BZP avec remb anticipé'!G47</f>
        <v>15315000</v>
      </c>
      <c r="H47" s="244">
        <f>'[1]BZP avec remb anticipé'!H47</f>
        <v>20420000</v>
      </c>
      <c r="I47" s="244">
        <f>'[1]BZP avec remb anticipé'!I47</f>
        <v>20420000</v>
      </c>
      <c r="J47" s="245">
        <f t="shared" ref="J47:AE47" si="9">$L$86*$I$47*(1+$E$29)^J26-(J11-$I$11)*J39</f>
        <v>19263593.694240004</v>
      </c>
      <c r="K47" s="245">
        <f t="shared" si="9"/>
        <v>19540879.355741758</v>
      </c>
      <c r="L47" s="245">
        <f t="shared" si="9"/>
        <v>19822377.417641103</v>
      </c>
      <c r="M47" s="245">
        <f t="shared" si="9"/>
        <v>20108001.8870598</v>
      </c>
      <c r="N47" s="245">
        <f t="shared" si="9"/>
        <v>20397659.357503731</v>
      </c>
      <c r="O47" s="245">
        <f t="shared" si="9"/>
        <v>20744945.497465707</v>
      </c>
      <c r="P47" s="245">
        <f t="shared" si="9"/>
        <v>21043640.384321999</v>
      </c>
      <c r="Q47" s="245">
        <f t="shared" si="9"/>
        <v>21401707.687434621</v>
      </c>
      <c r="R47" s="245">
        <f t="shared" si="9"/>
        <v>21709496.078192994</v>
      </c>
      <c r="S47" s="245">
        <f t="shared" si="9"/>
        <v>22078557.511522274</v>
      </c>
      <c r="T47" s="245">
        <f t="shared" si="9"/>
        <v>22395474.825141177</v>
      </c>
      <c r="U47" s="245">
        <f t="shared" si="9"/>
        <v>22775733.743482482</v>
      </c>
      <c r="V47" s="245">
        <f t="shared" si="9"/>
        <v>23162448.708669245</v>
      </c>
      <c r="W47" s="245">
        <f t="shared" si="9"/>
        <v>23555729.323112037</v>
      </c>
      <c r="X47" s="245">
        <f t="shared" si="9"/>
        <v>23892825.426080201</v>
      </c>
      <c r="Y47" s="245">
        <f t="shared" si="9"/>
        <v>24297880.763190698</v>
      </c>
      <c r="Z47" s="245">
        <f t="shared" si="9"/>
        <v>24709800.709824551</v>
      </c>
      <c r="AA47" s="245">
        <f t="shared" si="9"/>
        <v>25062058.783315081</v>
      </c>
      <c r="AB47" s="245">
        <f t="shared" si="9"/>
        <v>25486131.985801976</v>
      </c>
      <c r="AC47" s="245">
        <f t="shared" si="9"/>
        <v>25917374.796794564</v>
      </c>
      <c r="AD47" s="245">
        <f t="shared" si="9"/>
        <v>26355908.306918703</v>
      </c>
      <c r="AE47" s="245">
        <f t="shared" si="9"/>
        <v>26801855.649486527</v>
      </c>
    </row>
    <row r="48" spans="2:35" ht="76.5" customHeight="1" x14ac:dyDescent="0.25">
      <c r="B48" s="563"/>
      <c r="C48" s="246"/>
      <c r="D48" s="246"/>
      <c r="E48" s="247" t="s">
        <v>312</v>
      </c>
      <c r="F48" s="155" t="s">
        <v>313</v>
      </c>
      <c r="G48" s="229">
        <f t="shared" ref="G48:AE48" si="10">G39</f>
        <v>40000000</v>
      </c>
      <c r="H48" s="229">
        <f t="shared" si="10"/>
        <v>48000000</v>
      </c>
      <c r="I48" s="229">
        <f t="shared" si="10"/>
        <v>49304159.999999993</v>
      </c>
      <c r="J48" s="229">
        <f t="shared" si="10"/>
        <v>49846505.75999999</v>
      </c>
      <c r="K48" s="229">
        <f t="shared" si="10"/>
        <v>50444663.829119988</v>
      </c>
      <c r="L48" s="229">
        <f t="shared" si="10"/>
        <v>51100444.458898544</v>
      </c>
      <c r="M48" s="229">
        <f t="shared" si="10"/>
        <v>51815850.681323126</v>
      </c>
      <c r="N48" s="229">
        <f t="shared" si="10"/>
        <v>52593088.441542968</v>
      </c>
      <c r="O48" s="229">
        <f t="shared" si="10"/>
        <v>53381984.76816611</v>
      </c>
      <c r="P48" s="229">
        <f t="shared" si="10"/>
        <v>54236096.524456769</v>
      </c>
      <c r="Q48" s="229">
        <f t="shared" si="10"/>
        <v>55103874.068848081</v>
      </c>
      <c r="R48" s="229">
        <f t="shared" si="10"/>
        <v>56040639.928018495</v>
      </c>
      <c r="S48" s="229">
        <f t="shared" si="10"/>
        <v>56993330.806794807</v>
      </c>
      <c r="T48" s="229">
        <f t="shared" si="10"/>
        <v>58019210.761317112</v>
      </c>
      <c r="U48" s="229">
        <f t="shared" si="10"/>
        <v>59063556.555020824</v>
      </c>
      <c r="V48" s="229">
        <f t="shared" si="10"/>
        <v>60126700.573011197</v>
      </c>
      <c r="W48" s="229">
        <f t="shared" si="10"/>
        <v>61208981.183325402</v>
      </c>
      <c r="X48" s="229">
        <f t="shared" si="10"/>
        <v>62371951.825808577</v>
      </c>
      <c r="Y48" s="229">
        <f t="shared" si="10"/>
        <v>63557018.910498932</v>
      </c>
      <c r="Z48" s="229">
        <f t="shared" si="10"/>
        <v>64764602.269798405</v>
      </c>
      <c r="AA48" s="229">
        <f t="shared" si="10"/>
        <v>66059894.315194376</v>
      </c>
      <c r="AB48" s="229">
        <f t="shared" si="10"/>
        <v>67381092.20149827</v>
      </c>
      <c r="AC48" s="229">
        <f t="shared" si="10"/>
        <v>68728714.045528233</v>
      </c>
      <c r="AD48" s="229">
        <f t="shared" si="10"/>
        <v>70103288.3264388</v>
      </c>
      <c r="AE48" s="229">
        <f t="shared" si="10"/>
        <v>71505354.09296757</v>
      </c>
    </row>
    <row r="49" spans="2:33" ht="38.25" x14ac:dyDescent="0.25">
      <c r="B49" s="563"/>
      <c r="C49" s="155"/>
      <c r="D49" s="155"/>
      <c r="E49" s="248" t="s">
        <v>314</v>
      </c>
      <c r="F49" s="155" t="s">
        <v>315</v>
      </c>
      <c r="G49" s="229">
        <f t="shared" ref="G49:AE49" si="11">0.365*200*G31*G30</f>
        <v>3059429.9999999995</v>
      </c>
      <c r="H49" s="229">
        <f t="shared" si="11"/>
        <v>3314382.4999999995</v>
      </c>
      <c r="I49" s="229">
        <f t="shared" si="11"/>
        <v>2039619.9999999998</v>
      </c>
      <c r="J49" s="229">
        <v>1153229</v>
      </c>
      <c r="K49" s="229">
        <f t="shared" si="11"/>
        <v>0</v>
      </c>
      <c r="L49" s="229">
        <f t="shared" si="11"/>
        <v>0</v>
      </c>
      <c r="M49" s="229">
        <f t="shared" si="11"/>
        <v>0</v>
      </c>
      <c r="N49" s="229">
        <f t="shared" si="11"/>
        <v>0</v>
      </c>
      <c r="O49" s="229">
        <f t="shared" si="11"/>
        <v>0</v>
      </c>
      <c r="P49" s="229">
        <f t="shared" si="11"/>
        <v>0</v>
      </c>
      <c r="Q49" s="229">
        <f t="shared" si="11"/>
        <v>0</v>
      </c>
      <c r="R49" s="229">
        <f t="shared" si="11"/>
        <v>0</v>
      </c>
      <c r="S49" s="229">
        <f t="shared" si="11"/>
        <v>0</v>
      </c>
      <c r="T49" s="229">
        <f t="shared" si="11"/>
        <v>0</v>
      </c>
      <c r="U49" s="229">
        <f t="shared" si="11"/>
        <v>0</v>
      </c>
      <c r="V49" s="229">
        <f t="shared" si="11"/>
        <v>0</v>
      </c>
      <c r="W49" s="229">
        <f t="shared" si="11"/>
        <v>0</v>
      </c>
      <c r="X49" s="229">
        <f t="shared" si="11"/>
        <v>0</v>
      </c>
      <c r="Y49" s="229">
        <f t="shared" si="11"/>
        <v>0</v>
      </c>
      <c r="Z49" s="229">
        <f t="shared" si="11"/>
        <v>0</v>
      </c>
      <c r="AA49" s="229">
        <f t="shared" si="11"/>
        <v>0</v>
      </c>
      <c r="AB49" s="229">
        <f t="shared" si="11"/>
        <v>0</v>
      </c>
      <c r="AC49" s="229">
        <f t="shared" si="11"/>
        <v>0</v>
      </c>
      <c r="AD49" s="229">
        <f t="shared" si="11"/>
        <v>0</v>
      </c>
      <c r="AE49" s="229">
        <f t="shared" si="11"/>
        <v>0</v>
      </c>
    </row>
    <row r="50" spans="2:33" x14ac:dyDescent="0.25">
      <c r="B50" s="563"/>
      <c r="C50" s="155"/>
      <c r="D50" s="155"/>
      <c r="E50" s="155"/>
      <c r="F50" s="155" t="s">
        <v>316</v>
      </c>
      <c r="G50" s="229">
        <f t="shared" ref="G50:AE50" si="12">G44*(G47*G32+G48)/G39</f>
        <v>0</v>
      </c>
      <c r="H50" s="229">
        <f t="shared" si="12"/>
        <v>-514688</v>
      </c>
      <c r="I50" s="229">
        <f t="shared" si="12"/>
        <v>-525121.28000000003</v>
      </c>
      <c r="J50" s="229">
        <f t="shared" si="12"/>
        <v>-7308826.6401239028</v>
      </c>
      <c r="K50" s="229">
        <f t="shared" si="12"/>
        <v>-792928.40776456089</v>
      </c>
      <c r="L50" s="229">
        <f t="shared" si="12"/>
        <v>-1071333.5422881828</v>
      </c>
      <c r="M50" s="229">
        <f t="shared" si="12"/>
        <v>-9234706.2979720514</v>
      </c>
      <c r="N50" s="229">
        <f t="shared" si="12"/>
        <v>-826934.59113055142</v>
      </c>
      <c r="O50" s="229">
        <f t="shared" si="12"/>
        <v>-839735.29399366421</v>
      </c>
      <c r="P50" s="229">
        <f t="shared" si="12"/>
        <v>-12792781.589744583</v>
      </c>
      <c r="Q50" s="229">
        <f t="shared" si="12"/>
        <v>-866702.88262554933</v>
      </c>
      <c r="R50" s="229">
        <f t="shared" si="12"/>
        <v>-1174531.7886491665</v>
      </c>
      <c r="S50" s="229">
        <f t="shared" si="12"/>
        <v>-10153240.046977717</v>
      </c>
      <c r="T50" s="229">
        <f t="shared" si="12"/>
        <v>-911227.08745716058</v>
      </c>
      <c r="U50" s="229">
        <f t="shared" si="12"/>
        <v>-927409.72259768168</v>
      </c>
      <c r="V50" s="229">
        <f t="shared" si="12"/>
        <v>0</v>
      </c>
      <c r="W50" s="229">
        <f t="shared" si="12"/>
        <v>-14409641.635526706</v>
      </c>
      <c r="X50" s="229">
        <f t="shared" si="12"/>
        <v>-977834.54600007285</v>
      </c>
      <c r="Y50" s="229">
        <f t="shared" si="12"/>
        <v>-1327925.176336824</v>
      </c>
      <c r="Z50" s="229">
        <f t="shared" si="12"/>
        <v>-11496412.225921495</v>
      </c>
      <c r="AA50" s="229">
        <f t="shared" si="12"/>
        <v>-1033314.4961021572</v>
      </c>
      <c r="AB50" s="229">
        <f t="shared" si="12"/>
        <v>-1404319.9646422376</v>
      </c>
      <c r="AC50" s="229">
        <f t="shared" si="12"/>
        <v>-16103270.498933498</v>
      </c>
      <c r="AD50" s="229">
        <f t="shared" si="12"/>
        <v>-1094256.1796636852</v>
      </c>
      <c r="AE50" s="229">
        <f t="shared" si="12"/>
        <v>-1487149.4178009084</v>
      </c>
    </row>
    <row r="51" spans="2:33" x14ac:dyDescent="0.25">
      <c r="B51" s="563"/>
      <c r="C51" s="155"/>
      <c r="D51" s="155"/>
      <c r="E51" s="155"/>
      <c r="F51" s="249" t="s">
        <v>317</v>
      </c>
      <c r="G51" s="250">
        <f t="shared" ref="G51:AE51" si="13">SUM(G47:G50)</f>
        <v>58374430</v>
      </c>
      <c r="H51" s="250">
        <f t="shared" si="13"/>
        <v>71219694.5</v>
      </c>
      <c r="I51" s="250">
        <f t="shared" si="13"/>
        <v>71238658.719999999</v>
      </c>
      <c r="J51" s="250">
        <f t="shared" si="13"/>
        <v>62954501.814116091</v>
      </c>
      <c r="K51" s="250">
        <f t="shared" si="13"/>
        <v>69192614.777097195</v>
      </c>
      <c r="L51" s="250">
        <f t="shared" si="13"/>
        <v>69851488.334251463</v>
      </c>
      <c r="M51" s="250">
        <f t="shared" si="13"/>
        <v>62689146.270410866</v>
      </c>
      <c r="N51" s="250">
        <f t="shared" si="13"/>
        <v>72163813.207916141</v>
      </c>
      <c r="O51" s="250">
        <f t="shared" si="13"/>
        <v>73287194.971638158</v>
      </c>
      <c r="P51" s="250">
        <f t="shared" si="13"/>
        <v>62486955.319034189</v>
      </c>
      <c r="Q51" s="250">
        <f t="shared" si="13"/>
        <v>75638878.873657152</v>
      </c>
      <c r="R51" s="250">
        <f t="shared" si="13"/>
        <v>76575604.217562318</v>
      </c>
      <c r="S51" s="250">
        <f t="shared" si="13"/>
        <v>68918648.271339372</v>
      </c>
      <c r="T51" s="250">
        <f t="shared" si="13"/>
        <v>79503458.49900113</v>
      </c>
      <c r="U51" s="250">
        <f t="shared" si="13"/>
        <v>80911880.575905621</v>
      </c>
      <c r="V51" s="250">
        <f t="shared" si="13"/>
        <v>83289149.281680435</v>
      </c>
      <c r="W51" s="250">
        <f t="shared" si="13"/>
        <v>70355068.870910734</v>
      </c>
      <c r="X51" s="250">
        <f t="shared" si="13"/>
        <v>85286942.705888703</v>
      </c>
      <c r="Y51" s="250">
        <f t="shared" si="13"/>
        <v>86526974.497352809</v>
      </c>
      <c r="Z51" s="250">
        <f t="shared" si="13"/>
        <v>77977990.753701463</v>
      </c>
      <c r="AA51" s="250">
        <f t="shared" si="13"/>
        <v>90088638.602407306</v>
      </c>
      <c r="AB51" s="250">
        <f t="shared" si="13"/>
        <v>91462904.222658008</v>
      </c>
      <c r="AC51" s="250">
        <f t="shared" si="13"/>
        <v>78542818.343389302</v>
      </c>
      <c r="AD51" s="250">
        <f t="shared" si="13"/>
        <v>95364940.453693807</v>
      </c>
      <c r="AE51" s="250">
        <f t="shared" si="13"/>
        <v>96820060.324653193</v>
      </c>
    </row>
    <row r="52" spans="2:33" ht="13.5" thickBot="1" x14ac:dyDescent="0.3">
      <c r="B52" s="564"/>
      <c r="C52" s="238"/>
      <c r="D52" s="238"/>
      <c r="E52" s="238"/>
      <c r="F52" s="238"/>
      <c r="G52" s="251"/>
      <c r="H52" s="238"/>
      <c r="I52" s="238"/>
      <c r="J52" s="163"/>
      <c r="K52" s="163"/>
      <c r="L52" s="163"/>
      <c r="M52" s="163"/>
      <c r="N52" s="163"/>
      <c r="O52" s="163"/>
      <c r="P52" s="163"/>
      <c r="Q52" s="163"/>
      <c r="R52" s="163"/>
      <c r="S52" s="163"/>
      <c r="T52" s="163"/>
      <c r="U52" s="163"/>
      <c r="V52" s="163"/>
      <c r="W52" s="163"/>
      <c r="X52" s="163"/>
      <c r="Y52" s="163"/>
      <c r="Z52" s="163"/>
      <c r="AA52" s="163"/>
      <c r="AB52" s="163"/>
      <c r="AC52" s="163"/>
      <c r="AD52" s="163"/>
      <c r="AE52" s="164"/>
    </row>
    <row r="53" spans="2:33" hidden="1" x14ac:dyDescent="0.25">
      <c r="B53" s="555" t="s">
        <v>318</v>
      </c>
      <c r="C53" s="226"/>
      <c r="D53" s="155"/>
      <c r="E53" s="226" t="s">
        <v>319</v>
      </c>
      <c r="F53" s="252">
        <v>26802455.48</v>
      </c>
      <c r="G53" s="253"/>
      <c r="H53" s="254"/>
      <c r="I53" s="254"/>
      <c r="J53" s="255"/>
      <c r="K53" s="255"/>
      <c r="L53" s="255"/>
      <c r="M53" s="255"/>
      <c r="N53" s="255"/>
      <c r="O53" s="255"/>
      <c r="P53" s="255"/>
      <c r="Q53" s="255"/>
      <c r="R53" s="255"/>
      <c r="S53" s="255"/>
      <c r="T53" s="255"/>
      <c r="U53" s="255"/>
      <c r="V53" s="255"/>
      <c r="W53" s="255"/>
      <c r="X53" s="255"/>
      <c r="Y53" s="255"/>
      <c r="Z53" s="255"/>
      <c r="AA53" s="255"/>
      <c r="AB53" s="255"/>
      <c r="AC53" s="255"/>
      <c r="AD53" s="255"/>
      <c r="AE53" s="256"/>
    </row>
    <row r="54" spans="2:33" hidden="1" x14ac:dyDescent="0.25">
      <c r="B54" s="556"/>
      <c r="C54" s="155"/>
      <c r="D54" s="155"/>
      <c r="E54" s="155" t="s">
        <v>320</v>
      </c>
      <c r="F54" s="257">
        <v>128343449</v>
      </c>
      <c r="G54" s="258"/>
      <c r="H54" s="155"/>
      <c r="I54" s="155"/>
      <c r="J54" s="166"/>
      <c r="K54" s="166"/>
      <c r="L54" s="166"/>
      <c r="M54" s="166"/>
      <c r="N54" s="166"/>
      <c r="O54" s="166"/>
      <c r="P54" s="166"/>
      <c r="Q54" s="166"/>
      <c r="R54" s="166"/>
      <c r="S54" s="166"/>
      <c r="T54" s="166"/>
      <c r="U54" s="166"/>
      <c r="V54" s="166"/>
      <c r="W54" s="166"/>
      <c r="X54" s="166"/>
      <c r="Y54" s="166"/>
      <c r="Z54" s="166"/>
      <c r="AA54" s="166"/>
      <c r="AB54" s="166"/>
      <c r="AC54" s="166"/>
      <c r="AD54" s="166"/>
      <c r="AE54" s="167"/>
    </row>
    <row r="55" spans="2:33" hidden="1" x14ac:dyDescent="0.25">
      <c r="B55" s="556"/>
      <c r="C55" s="155"/>
      <c r="D55" s="155"/>
      <c r="E55" s="155"/>
      <c r="F55" s="155"/>
      <c r="G55" s="259"/>
      <c r="H55" s="229"/>
      <c r="I55" s="229"/>
      <c r="J55" s="230"/>
      <c r="K55" s="230"/>
      <c r="L55" s="230"/>
      <c r="M55" s="230"/>
      <c r="N55" s="230"/>
      <c r="O55" s="230"/>
      <c r="P55" s="230"/>
      <c r="Q55" s="230"/>
      <c r="R55" s="230"/>
      <c r="S55" s="230"/>
      <c r="T55" s="230"/>
      <c r="U55" s="230"/>
      <c r="V55" s="230"/>
      <c r="W55" s="230"/>
      <c r="X55" s="230"/>
      <c r="Y55" s="230"/>
      <c r="Z55" s="230"/>
      <c r="AA55" s="230"/>
      <c r="AB55" s="230"/>
      <c r="AC55" s="230"/>
      <c r="AD55" s="230"/>
      <c r="AE55" s="260"/>
    </row>
    <row r="56" spans="2:33" x14ac:dyDescent="0.25">
      <c r="B56" s="556"/>
      <c r="C56" s="155"/>
      <c r="D56" s="155"/>
      <c r="E56" s="261"/>
      <c r="F56" s="262">
        <v>28494642.309999999</v>
      </c>
      <c r="G56" s="258"/>
      <c r="H56" s="155"/>
      <c r="I56" s="155"/>
      <c r="J56" s="166"/>
      <c r="K56" s="166"/>
      <c r="L56" s="166"/>
      <c r="M56" s="166"/>
      <c r="N56" s="166"/>
      <c r="O56" s="166"/>
      <c r="P56" s="166"/>
      <c r="Q56" s="166"/>
      <c r="R56" s="166"/>
      <c r="S56" s="166"/>
      <c r="T56" s="166"/>
      <c r="U56" s="166"/>
      <c r="V56" s="166"/>
      <c r="W56" s="166"/>
      <c r="X56" s="166"/>
      <c r="Y56" s="166"/>
      <c r="Z56" s="166"/>
      <c r="AA56" s="166"/>
      <c r="AB56" s="166"/>
      <c r="AC56" s="166"/>
      <c r="AD56" s="166"/>
      <c r="AE56" s="167"/>
    </row>
    <row r="57" spans="2:33" x14ac:dyDescent="0.25">
      <c r="B57" s="556"/>
      <c r="C57" s="155"/>
      <c r="D57" s="155"/>
      <c r="E57" s="261"/>
      <c r="F57" s="257">
        <v>128343449</v>
      </c>
      <c r="G57" s="258"/>
      <c r="H57" s="155"/>
      <c r="I57" s="155"/>
      <c r="J57" s="166"/>
      <c r="K57" s="166"/>
      <c r="L57" s="166"/>
      <c r="M57" s="166"/>
      <c r="N57" s="166"/>
      <c r="O57" s="166"/>
      <c r="P57" s="166"/>
      <c r="Q57" s="166"/>
      <c r="R57" s="166"/>
      <c r="S57" s="166"/>
      <c r="T57" s="166"/>
      <c r="U57" s="166"/>
      <c r="V57" s="166"/>
      <c r="W57" s="166"/>
      <c r="X57" s="166"/>
      <c r="Y57" s="166"/>
      <c r="Z57" s="166"/>
      <c r="AA57" s="166"/>
      <c r="AB57" s="166"/>
      <c r="AC57" s="166"/>
      <c r="AD57" s="166"/>
      <c r="AE57" s="167"/>
    </row>
    <row r="58" spans="2:33" x14ac:dyDescent="0.25">
      <c r="B58" s="556"/>
      <c r="C58" s="155"/>
      <c r="D58" s="155"/>
      <c r="E58" s="261"/>
      <c r="F58" s="263" t="s">
        <v>321</v>
      </c>
      <c r="G58" s="263">
        <f>G51-G45-G46</f>
        <v>14881935.450028978</v>
      </c>
      <c r="H58" s="263">
        <f>H51-H45-H46</f>
        <v>18758951.480230507</v>
      </c>
      <c r="I58" s="263">
        <f t="shared" ref="I58:AE58" si="14">I51-I45-I46</f>
        <v>17311287.7402496</v>
      </c>
      <c r="J58" s="263">
        <f t="shared" si="14"/>
        <v>13517305.019225165</v>
      </c>
      <c r="K58" s="263">
        <f t="shared" si="14"/>
        <v>14005370.424569391</v>
      </c>
      <c r="L58" s="263">
        <f t="shared" si="14"/>
        <v>14049638.5992407</v>
      </c>
      <c r="M58" s="263">
        <f t="shared" si="14"/>
        <v>12225294.781090239</v>
      </c>
      <c r="N58" s="263">
        <f t="shared" si="14"/>
        <v>14303492.596516678</v>
      </c>
      <c r="O58" s="263">
        <f t="shared" si="14"/>
        <v>14487817.381952643</v>
      </c>
      <c r="P58" s="263">
        <f t="shared" si="14"/>
        <v>11791229.147868959</v>
      </c>
      <c r="Q58" s="263">
        <f t="shared" si="14"/>
        <v>14733110.96007148</v>
      </c>
      <c r="R58" s="263">
        <f t="shared" si="14"/>
        <v>14752324.531593706</v>
      </c>
      <c r="S58" s="263">
        <f t="shared" si="14"/>
        <v>12787109.843980517</v>
      </c>
      <c r="T58" s="263">
        <f t="shared" si="14"/>
        <v>15027792.236697031</v>
      </c>
      <c r="U58" s="263">
        <f t="shared" si="14"/>
        <v>15166873.319644842</v>
      </c>
      <c r="V58" s="263">
        <f t="shared" si="14"/>
        <v>15525184.045211434</v>
      </c>
      <c r="W58" s="263">
        <f t="shared" si="14"/>
        <v>12295610.835235704</v>
      </c>
      <c r="X58" s="263">
        <f t="shared" si="14"/>
        <v>15511361.29544235</v>
      </c>
      <c r="Y58" s="263">
        <f t="shared" si="14"/>
        <v>15563778.925021486</v>
      </c>
      <c r="Z58" s="263">
        <f t="shared" si="14"/>
        <v>13333720.929372512</v>
      </c>
      <c r="AA58" s="263">
        <f t="shared" si="14"/>
        <v>15826620.88967221</v>
      </c>
      <c r="AB58" s="263">
        <f t="shared" si="14"/>
        <v>15865139.501771996</v>
      </c>
      <c r="AC58" s="263">
        <f t="shared" si="14"/>
        <v>12603168.36893381</v>
      </c>
      <c r="AD58" s="263">
        <f t="shared" si="14"/>
        <v>16175215.326557413</v>
      </c>
      <c r="AE58" s="263">
        <f t="shared" si="14"/>
        <v>16199096.290905932</v>
      </c>
    </row>
    <row r="59" spans="2:33" x14ac:dyDescent="0.25">
      <c r="B59" s="556"/>
      <c r="C59" s="155"/>
      <c r="D59" s="155"/>
      <c r="E59" s="155"/>
      <c r="F59" s="155" t="s">
        <v>322</v>
      </c>
      <c r="G59" s="229">
        <f>($F$56+$F$57)/25*9/12</f>
        <v>4705142.7393000005</v>
      </c>
      <c r="H59" s="229">
        <f t="shared" ref="H59:AE59" si="15">($F$56+$F$57)/25</f>
        <v>6273523.6524</v>
      </c>
      <c r="I59" s="229">
        <f t="shared" si="15"/>
        <v>6273523.6524</v>
      </c>
      <c r="J59" s="230">
        <f t="shared" si="15"/>
        <v>6273523.6524</v>
      </c>
      <c r="K59" s="230">
        <f t="shared" si="15"/>
        <v>6273523.6524</v>
      </c>
      <c r="L59" s="230">
        <f t="shared" si="15"/>
        <v>6273523.6524</v>
      </c>
      <c r="M59" s="230">
        <f t="shared" si="15"/>
        <v>6273523.6524</v>
      </c>
      <c r="N59" s="230">
        <f t="shared" si="15"/>
        <v>6273523.6524</v>
      </c>
      <c r="O59" s="230">
        <f t="shared" si="15"/>
        <v>6273523.6524</v>
      </c>
      <c r="P59" s="230">
        <f t="shared" si="15"/>
        <v>6273523.6524</v>
      </c>
      <c r="Q59" s="230">
        <f t="shared" si="15"/>
        <v>6273523.6524</v>
      </c>
      <c r="R59" s="230">
        <f t="shared" si="15"/>
        <v>6273523.6524</v>
      </c>
      <c r="S59" s="230">
        <f t="shared" si="15"/>
        <v>6273523.6524</v>
      </c>
      <c r="T59" s="230">
        <f t="shared" si="15"/>
        <v>6273523.6524</v>
      </c>
      <c r="U59" s="230">
        <f t="shared" si="15"/>
        <v>6273523.6524</v>
      </c>
      <c r="V59" s="230">
        <f t="shared" si="15"/>
        <v>6273523.6524</v>
      </c>
      <c r="W59" s="230">
        <f t="shared" si="15"/>
        <v>6273523.6524</v>
      </c>
      <c r="X59" s="230">
        <f t="shared" si="15"/>
        <v>6273523.6524</v>
      </c>
      <c r="Y59" s="230">
        <f t="shared" si="15"/>
        <v>6273523.6524</v>
      </c>
      <c r="Z59" s="230">
        <f t="shared" si="15"/>
        <v>6273523.6524</v>
      </c>
      <c r="AA59" s="230">
        <f t="shared" si="15"/>
        <v>6273523.6524</v>
      </c>
      <c r="AB59" s="230">
        <f t="shared" si="15"/>
        <v>6273523.6524</v>
      </c>
      <c r="AC59" s="230">
        <f t="shared" si="15"/>
        <v>6273523.6524</v>
      </c>
      <c r="AD59" s="230">
        <f t="shared" si="15"/>
        <v>6273523.6524</v>
      </c>
      <c r="AE59" s="260">
        <f t="shared" si="15"/>
        <v>6273523.6524</v>
      </c>
      <c r="AF59" s="264">
        <f>SUM(G59:AE59)</f>
        <v>155269710.3969</v>
      </c>
      <c r="AG59" s="265">
        <f>F56+F57-AF59</f>
        <v>1568380.9131000042</v>
      </c>
    </row>
    <row r="60" spans="2:33" x14ac:dyDescent="0.25">
      <c r="B60" s="556"/>
      <c r="C60" s="155"/>
      <c r="D60" s="155"/>
      <c r="E60" s="155"/>
      <c r="F60" s="266" t="s">
        <v>323</v>
      </c>
      <c r="G60" s="267">
        <f>'emprunt bzp2 (4,97)'!M2</f>
        <v>4331591.4037499996</v>
      </c>
      <c r="H60" s="267">
        <f>'emprunt bzp2 (4,97)'!M3</f>
        <v>5690986.6400781823</v>
      </c>
      <c r="I60" s="267">
        <f>'emprunt bzp2 (4,97)'!M4</f>
        <v>5562514.1336956006</v>
      </c>
      <c r="J60" s="267">
        <f>'emprunt bzp2 (4,97)'!M5</f>
        <v>5586388.5882905284</v>
      </c>
      <c r="K60" s="267">
        <f>'emprunt bzp2 (4,97)'!M6</f>
        <v>5274358.9262884744</v>
      </c>
      <c r="L60" s="267">
        <f>'emprunt bzp2 (4,97)'!M7</f>
        <v>4948599.6329307584</v>
      </c>
      <c r="M60" s="267">
        <f>'emprunt bzp2 (4,97)'!M8</f>
        <v>4616490.6682216637</v>
      </c>
      <c r="N60" s="267">
        <f>'emprunt bzp2 (4,97)'!M9</f>
        <v>4309988.4535976229</v>
      </c>
      <c r="O60" s="267">
        <f>'emprunt bzp2 (4,97)'!M10</f>
        <v>3962564.7864579163</v>
      </c>
      <c r="P60" s="267">
        <f>'emprunt bzp2 (4,97)'!M11</f>
        <v>3606016.3158720112</v>
      </c>
      <c r="Q60" s="267">
        <f>'emprunt bzp2 (4,97)'!M12</f>
        <v>3289622.9276277274</v>
      </c>
      <c r="R60" s="267">
        <f>'emprunt bzp2 (4,97)'!M13</f>
        <v>2917317.5369437765</v>
      </c>
      <c r="S60" s="267">
        <f>'emprunt bzp2 (4,97)'!M14</f>
        <v>2538293.6808683677</v>
      </c>
      <c r="T60" s="267">
        <f>'emprunt bzp2 (4,97)'!M15</f>
        <v>2186488.8594621471</v>
      </c>
      <c r="U60" s="267">
        <f>'emprunt bzp2 (4,97)'!M16</f>
        <v>1790196.9574615802</v>
      </c>
      <c r="V60" s="267">
        <f>'emprunt bzp2 (4,97)'!M17</f>
        <v>1384718.0550392994</v>
      </c>
      <c r="W60" s="267">
        <f>'emprunt bzp2 (4,97)'!M18</f>
        <v>966132.5226007296</v>
      </c>
      <c r="X60" s="267">
        <f>'emprunt bzp2 (4,97)'!M19</f>
        <v>595783.53870869742</v>
      </c>
      <c r="Y60" s="267">
        <f>'emprunt bzp2 (4,97)'!M20</f>
        <v>163897.08835593198</v>
      </c>
      <c r="Z60" s="267">
        <f>'emprunt bzp2 (4,97)'!M21</f>
        <v>0</v>
      </c>
      <c r="AA60" s="267">
        <f>'emprunt bzp2 (4,97)'!M22</f>
        <v>0</v>
      </c>
      <c r="AB60" s="267">
        <f>'emprunt bzp2 (4,97)'!M23</f>
        <v>0</v>
      </c>
      <c r="AC60" s="267">
        <f>'emprunt bzp2 (4,97)'!M24</f>
        <v>0</v>
      </c>
      <c r="AD60" s="267">
        <f>'emprunt bzp2 (4,97)'!M25</f>
        <v>0</v>
      </c>
      <c r="AE60" s="268">
        <f>'emprunt bzp2 (4,97)'!M26</f>
        <v>0</v>
      </c>
      <c r="AF60" s="264">
        <f>SUM(G60:AE60)</f>
        <v>63721950.716251023</v>
      </c>
      <c r="AG60" s="269">
        <f>'emprunt bzp2 (4,97)'!M28</f>
        <v>63721950.716251023</v>
      </c>
    </row>
    <row r="61" spans="2:33" hidden="1" x14ac:dyDescent="0.25">
      <c r="B61" s="556"/>
      <c r="C61" s="155"/>
      <c r="D61" s="155"/>
      <c r="E61" s="155"/>
      <c r="F61" s="155"/>
      <c r="G61" s="259"/>
      <c r="H61" s="229"/>
      <c r="I61" s="229"/>
      <c r="J61" s="230"/>
      <c r="K61" s="230"/>
      <c r="L61" s="230"/>
      <c r="M61" s="230"/>
      <c r="N61" s="230"/>
      <c r="O61" s="230"/>
      <c r="P61" s="230"/>
      <c r="Q61" s="230"/>
      <c r="R61" s="230"/>
      <c r="S61" s="230"/>
      <c r="T61" s="230"/>
      <c r="U61" s="230"/>
      <c r="V61" s="230"/>
      <c r="W61" s="230"/>
      <c r="X61" s="230"/>
      <c r="Y61" s="230"/>
      <c r="Z61" s="230"/>
      <c r="AA61" s="230"/>
      <c r="AB61" s="230"/>
      <c r="AC61" s="230"/>
      <c r="AD61" s="230"/>
      <c r="AE61" s="260"/>
      <c r="AF61" s="265"/>
    </row>
    <row r="62" spans="2:33" ht="8.25" customHeight="1" thickBot="1" x14ac:dyDescent="0.3">
      <c r="B62" s="557"/>
      <c r="C62" s="238"/>
      <c r="D62" s="238"/>
      <c r="E62" s="238"/>
      <c r="F62" s="238"/>
      <c r="G62" s="251"/>
      <c r="H62" s="270"/>
      <c r="I62" s="270"/>
      <c r="J62" s="271"/>
      <c r="K62" s="271"/>
      <c r="L62" s="271"/>
      <c r="M62" s="271"/>
      <c r="N62" s="271"/>
      <c r="O62" s="271"/>
      <c r="P62" s="271"/>
      <c r="Q62" s="271"/>
      <c r="R62" s="271"/>
      <c r="S62" s="271"/>
      <c r="T62" s="271"/>
      <c r="U62" s="271"/>
      <c r="V62" s="271"/>
      <c r="W62" s="271"/>
      <c r="X62" s="271"/>
      <c r="Y62" s="271"/>
      <c r="Z62" s="271"/>
      <c r="AA62" s="271"/>
      <c r="AB62" s="271"/>
      <c r="AC62" s="271"/>
      <c r="AD62" s="271"/>
      <c r="AE62" s="272"/>
      <c r="AF62" s="265"/>
    </row>
    <row r="63" spans="2:33" x14ac:dyDescent="0.25">
      <c r="B63" s="555" t="s">
        <v>324</v>
      </c>
      <c r="C63" s="226"/>
      <c r="D63" s="226"/>
      <c r="E63" s="226" t="s">
        <v>325</v>
      </c>
      <c r="F63" s="226"/>
      <c r="G63" s="273"/>
      <c r="H63" s="226"/>
      <c r="I63" s="226"/>
      <c r="J63" s="182"/>
      <c r="K63" s="182"/>
      <c r="L63" s="182"/>
      <c r="M63" s="182"/>
      <c r="N63" s="182"/>
      <c r="O63" s="182"/>
      <c r="P63" s="182"/>
      <c r="Q63" s="182"/>
      <c r="R63" s="182"/>
      <c r="S63" s="182"/>
      <c r="T63" s="182"/>
      <c r="U63" s="182"/>
      <c r="V63" s="182"/>
      <c r="W63" s="182"/>
      <c r="X63" s="182"/>
      <c r="Y63" s="182"/>
      <c r="Z63" s="182"/>
      <c r="AA63" s="182"/>
      <c r="AB63" s="182"/>
      <c r="AC63" s="182"/>
      <c r="AD63" s="182"/>
      <c r="AE63" s="227"/>
      <c r="AF63" s="265"/>
    </row>
    <row r="64" spans="2:33" x14ac:dyDescent="0.25">
      <c r="B64" s="556"/>
      <c r="C64" s="155"/>
      <c r="D64" s="155"/>
      <c r="E64" s="229">
        <f>AVERAGE(G64:AE64)</f>
        <v>8457148.7809674107</v>
      </c>
      <c r="F64" s="155" t="s">
        <v>326</v>
      </c>
      <c r="G64" s="229">
        <f>G51-G45-G59-G46</f>
        <v>10176792.710728977</v>
      </c>
      <c r="H64" s="229">
        <f t="shared" ref="H64:AE64" si="16">H51-H45-H59-H46</f>
        <v>12485427.827830506</v>
      </c>
      <c r="I64" s="229">
        <f t="shared" si="16"/>
        <v>11037764.087849602</v>
      </c>
      <c r="J64" s="230">
        <f t="shared" si="16"/>
        <v>7243781.3668251643</v>
      </c>
      <c r="K64" s="230">
        <f t="shared" si="16"/>
        <v>7731846.7721693907</v>
      </c>
      <c r="L64" s="230">
        <f t="shared" si="16"/>
        <v>7776114.9468406998</v>
      </c>
      <c r="M64" s="230">
        <f t="shared" si="16"/>
        <v>5951771.128690239</v>
      </c>
      <c r="N64" s="230">
        <f t="shared" si="16"/>
        <v>8029968.944116679</v>
      </c>
      <c r="O64" s="230">
        <f t="shared" si="16"/>
        <v>8214293.7295526424</v>
      </c>
      <c r="P64" s="230">
        <f t="shared" si="16"/>
        <v>5517705.4954689592</v>
      </c>
      <c r="Q64" s="230">
        <f t="shared" si="16"/>
        <v>8459587.3076714799</v>
      </c>
      <c r="R64" s="230">
        <f t="shared" si="16"/>
        <v>8478800.8791937064</v>
      </c>
      <c r="S64" s="230">
        <f t="shared" si="16"/>
        <v>6513586.1915805172</v>
      </c>
      <c r="T64" s="230">
        <f t="shared" si="16"/>
        <v>8754268.5842970312</v>
      </c>
      <c r="U64" s="230">
        <f t="shared" si="16"/>
        <v>8893349.6672448423</v>
      </c>
      <c r="V64" s="230">
        <f t="shared" si="16"/>
        <v>9251660.3928114343</v>
      </c>
      <c r="W64" s="230">
        <f t="shared" si="16"/>
        <v>6022087.1828357037</v>
      </c>
      <c r="X64" s="230">
        <f t="shared" si="16"/>
        <v>9237837.6430423502</v>
      </c>
      <c r="Y64" s="230">
        <f t="shared" si="16"/>
        <v>9290255.2726214863</v>
      </c>
      <c r="Z64" s="230">
        <f t="shared" si="16"/>
        <v>7060197.2769725127</v>
      </c>
      <c r="AA64" s="230">
        <f t="shared" si="16"/>
        <v>9553097.2372722104</v>
      </c>
      <c r="AB64" s="230">
        <f t="shared" si="16"/>
        <v>9591615.8493719958</v>
      </c>
      <c r="AC64" s="230">
        <f t="shared" si="16"/>
        <v>6329644.7165338099</v>
      </c>
      <c r="AD64" s="230">
        <f t="shared" si="16"/>
        <v>9901691.6741574127</v>
      </c>
      <c r="AE64" s="230">
        <f t="shared" si="16"/>
        <v>9925572.6385059319</v>
      </c>
      <c r="AF64" s="265"/>
    </row>
    <row r="65" spans="2:33" x14ac:dyDescent="0.25">
      <c r="B65" s="556"/>
      <c r="C65" s="155"/>
      <c r="D65" s="155"/>
      <c r="E65" s="229"/>
      <c r="F65" s="155" t="s">
        <v>327</v>
      </c>
      <c r="G65" s="229">
        <f t="shared" ref="G65:AE65" si="17">-G60</f>
        <v>-4331591.4037499996</v>
      </c>
      <c r="H65" s="229">
        <f t="shared" si="17"/>
        <v>-5690986.6400781823</v>
      </c>
      <c r="I65" s="229">
        <f t="shared" si="17"/>
        <v>-5562514.1336956006</v>
      </c>
      <c r="J65" s="230">
        <f t="shared" si="17"/>
        <v>-5586388.5882905284</v>
      </c>
      <c r="K65" s="230">
        <f t="shared" si="17"/>
        <v>-5274358.9262884744</v>
      </c>
      <c r="L65" s="230">
        <f t="shared" si="17"/>
        <v>-4948599.6329307584</v>
      </c>
      <c r="M65" s="230">
        <f t="shared" si="17"/>
        <v>-4616490.6682216637</v>
      </c>
      <c r="N65" s="230">
        <f t="shared" si="17"/>
        <v>-4309988.4535976229</v>
      </c>
      <c r="O65" s="230">
        <f t="shared" si="17"/>
        <v>-3962564.7864579163</v>
      </c>
      <c r="P65" s="230">
        <f t="shared" si="17"/>
        <v>-3606016.3158720112</v>
      </c>
      <c r="Q65" s="230">
        <f t="shared" si="17"/>
        <v>-3289622.9276277274</v>
      </c>
      <c r="R65" s="230">
        <f t="shared" si="17"/>
        <v>-2917317.5369437765</v>
      </c>
      <c r="S65" s="230">
        <f t="shared" si="17"/>
        <v>-2538293.6808683677</v>
      </c>
      <c r="T65" s="230">
        <f t="shared" si="17"/>
        <v>-2186488.8594621471</v>
      </c>
      <c r="U65" s="230">
        <f t="shared" si="17"/>
        <v>-1790196.9574615802</v>
      </c>
      <c r="V65" s="230">
        <f t="shared" si="17"/>
        <v>-1384718.0550392994</v>
      </c>
      <c r="W65" s="230">
        <f t="shared" si="17"/>
        <v>-966132.5226007296</v>
      </c>
      <c r="X65" s="230">
        <f t="shared" si="17"/>
        <v>-595783.53870869742</v>
      </c>
      <c r="Y65" s="230">
        <f t="shared" si="17"/>
        <v>-163897.08835593198</v>
      </c>
      <c r="Z65" s="230">
        <f t="shared" si="17"/>
        <v>0</v>
      </c>
      <c r="AA65" s="230">
        <f t="shared" si="17"/>
        <v>0</v>
      </c>
      <c r="AB65" s="230">
        <f t="shared" si="17"/>
        <v>0</v>
      </c>
      <c r="AC65" s="230">
        <f t="shared" si="17"/>
        <v>0</v>
      </c>
      <c r="AD65" s="230">
        <f t="shared" si="17"/>
        <v>0</v>
      </c>
      <c r="AE65" s="260">
        <f t="shared" si="17"/>
        <v>0</v>
      </c>
      <c r="AF65" s="269">
        <f>SUM(G65:AE65)</f>
        <v>-63721950.716251023</v>
      </c>
    </row>
    <row r="66" spans="2:33" x14ac:dyDescent="0.25">
      <c r="B66" s="556"/>
      <c r="C66" s="155"/>
      <c r="D66" s="155"/>
      <c r="E66" s="229">
        <f>AVERAGE(G66:AE66)</f>
        <v>5908270.7523173718</v>
      </c>
      <c r="F66" s="249" t="s">
        <v>328</v>
      </c>
      <c r="G66" s="257">
        <f t="shared" ref="G66:AE66" si="18">G64+G65</f>
        <v>5845201.3069789773</v>
      </c>
      <c r="H66" s="257">
        <f t="shared" si="18"/>
        <v>6794441.1877523242</v>
      </c>
      <c r="I66" s="257">
        <f t="shared" si="18"/>
        <v>5475249.9541540015</v>
      </c>
      <c r="J66" s="274">
        <f t="shared" si="18"/>
        <v>1657392.7785346359</v>
      </c>
      <c r="K66" s="274">
        <f t="shared" si="18"/>
        <v>2457487.8458809163</v>
      </c>
      <c r="L66" s="274">
        <f t="shared" si="18"/>
        <v>2827515.3139099414</v>
      </c>
      <c r="M66" s="274">
        <f t="shared" si="18"/>
        <v>1335280.4604685754</v>
      </c>
      <c r="N66" s="274">
        <f t="shared" si="18"/>
        <v>3719980.4905190561</v>
      </c>
      <c r="O66" s="274">
        <f t="shared" si="18"/>
        <v>4251728.9430947267</v>
      </c>
      <c r="P66" s="274">
        <f t="shared" si="18"/>
        <v>1911689.179596948</v>
      </c>
      <c r="Q66" s="274">
        <f t="shared" si="18"/>
        <v>5169964.3800437525</v>
      </c>
      <c r="R66" s="274">
        <f t="shared" si="18"/>
        <v>5561483.3422499299</v>
      </c>
      <c r="S66" s="274">
        <f t="shared" si="18"/>
        <v>3975292.5107121496</v>
      </c>
      <c r="T66" s="274">
        <f t="shared" si="18"/>
        <v>6567779.7248348836</v>
      </c>
      <c r="U66" s="274">
        <f t="shared" si="18"/>
        <v>7103152.7097832616</v>
      </c>
      <c r="V66" s="274">
        <f t="shared" si="18"/>
        <v>7866942.3377721347</v>
      </c>
      <c r="W66" s="274">
        <f t="shared" si="18"/>
        <v>5055954.6602349738</v>
      </c>
      <c r="X66" s="274">
        <f t="shared" si="18"/>
        <v>8642054.1043336522</v>
      </c>
      <c r="Y66" s="274">
        <f t="shared" si="18"/>
        <v>9126358.184265554</v>
      </c>
      <c r="Z66" s="274">
        <f t="shared" si="18"/>
        <v>7060197.2769725127</v>
      </c>
      <c r="AA66" s="274">
        <f t="shared" si="18"/>
        <v>9553097.2372722104</v>
      </c>
      <c r="AB66" s="274">
        <f t="shared" si="18"/>
        <v>9591615.8493719958</v>
      </c>
      <c r="AC66" s="274">
        <f t="shared" si="18"/>
        <v>6329644.7165338099</v>
      </c>
      <c r="AD66" s="274">
        <f t="shared" si="18"/>
        <v>9901691.6741574127</v>
      </c>
      <c r="AE66" s="275">
        <f t="shared" si="18"/>
        <v>9925572.6385059319</v>
      </c>
      <c r="AF66" s="269">
        <f>SUM(G66:AE66)</f>
        <v>147706768.80793428</v>
      </c>
    </row>
    <row r="67" spans="2:33" ht="13.5" thickBot="1" x14ac:dyDescent="0.3">
      <c r="B67" s="557"/>
      <c r="C67" s="238"/>
      <c r="D67" s="238"/>
      <c r="E67" s="238"/>
      <c r="F67" s="238"/>
      <c r="G67" s="276"/>
      <c r="H67" s="238"/>
      <c r="I67" s="238"/>
      <c r="J67" s="163"/>
      <c r="K67" s="163"/>
      <c r="L67" s="163"/>
      <c r="M67" s="163"/>
      <c r="N67" s="163"/>
      <c r="O67" s="163"/>
      <c r="P67" s="163"/>
      <c r="Q67" s="163"/>
      <c r="R67" s="163"/>
      <c r="S67" s="163"/>
      <c r="T67" s="163"/>
      <c r="U67" s="163"/>
      <c r="V67" s="163"/>
      <c r="W67" s="163"/>
      <c r="X67" s="163"/>
      <c r="Y67" s="163"/>
      <c r="Z67" s="163"/>
      <c r="AA67" s="163"/>
      <c r="AB67" s="163"/>
      <c r="AC67" s="163"/>
      <c r="AD67" s="163"/>
      <c r="AE67" s="164"/>
      <c r="AF67" s="265"/>
    </row>
    <row r="68" spans="2:33" ht="13.5" hidden="1" thickBot="1" x14ac:dyDescent="0.3">
      <c r="B68" s="558" t="s">
        <v>329</v>
      </c>
      <c r="C68" s="226"/>
      <c r="D68" s="226"/>
      <c r="E68" s="277"/>
      <c r="F68" s="226"/>
      <c r="G68" s="273"/>
      <c r="H68" s="226"/>
      <c r="I68" s="226"/>
      <c r="J68" s="182"/>
      <c r="K68" s="182"/>
      <c r="L68" s="182"/>
      <c r="M68" s="182"/>
      <c r="N68" s="182"/>
      <c r="O68" s="182"/>
      <c r="P68" s="182"/>
      <c r="Q68" s="182"/>
      <c r="R68" s="182"/>
      <c r="S68" s="182"/>
      <c r="T68" s="182"/>
      <c r="U68" s="182"/>
      <c r="V68" s="182"/>
      <c r="W68" s="182"/>
      <c r="X68" s="182"/>
      <c r="Y68" s="182"/>
      <c r="Z68" s="182"/>
      <c r="AA68" s="182"/>
      <c r="AB68" s="182"/>
      <c r="AC68" s="182"/>
      <c r="AD68" s="182"/>
      <c r="AE68" s="182"/>
      <c r="AF68" s="265"/>
    </row>
    <row r="69" spans="2:33" x14ac:dyDescent="0.25">
      <c r="B69" s="559"/>
      <c r="C69" s="155"/>
      <c r="D69" s="155"/>
      <c r="E69" s="226" t="s">
        <v>325</v>
      </c>
      <c r="F69" s="155"/>
      <c r="G69" s="258"/>
      <c r="H69" s="155"/>
      <c r="I69" s="155"/>
      <c r="J69" s="166"/>
      <c r="K69" s="166"/>
      <c r="L69" s="166"/>
      <c r="M69" s="166"/>
      <c r="N69" s="166"/>
      <c r="O69" s="166"/>
      <c r="P69" s="166"/>
      <c r="Q69" s="166"/>
      <c r="R69" s="166"/>
      <c r="S69" s="166"/>
      <c r="T69" s="166"/>
      <c r="U69" s="166"/>
      <c r="V69" s="166"/>
      <c r="W69" s="166"/>
      <c r="X69" s="166"/>
      <c r="Y69" s="166"/>
      <c r="Z69" s="166"/>
      <c r="AA69" s="166"/>
      <c r="AB69" s="166"/>
      <c r="AC69" s="166"/>
      <c r="AD69" s="166"/>
      <c r="AE69" s="166"/>
      <c r="AF69" s="265"/>
    </row>
    <row r="70" spans="2:33" ht="0.75" customHeight="1" x14ac:dyDescent="0.25">
      <c r="B70" s="559"/>
      <c r="C70" s="155"/>
      <c r="D70" s="155"/>
      <c r="E70" s="229">
        <f>AVERAGE(G70:AE70)</f>
        <v>2008812.0557879063</v>
      </c>
      <c r="F70" s="155" t="s">
        <v>330</v>
      </c>
      <c r="G70" s="229">
        <f t="shared" ref="G70:AE70" si="19">34%*(G66)</f>
        <v>1987368.4443728523</v>
      </c>
      <c r="H70" s="229">
        <f t="shared" si="19"/>
        <v>2310110.0038357903</v>
      </c>
      <c r="I70" s="229">
        <f t="shared" si="19"/>
        <v>1861584.9844123607</v>
      </c>
      <c r="J70" s="230">
        <f t="shared" si="19"/>
        <v>563513.54470177623</v>
      </c>
      <c r="K70" s="230">
        <f t="shared" si="19"/>
        <v>835545.86759951164</v>
      </c>
      <c r="L70" s="230">
        <f t="shared" si="19"/>
        <v>961355.20672938018</v>
      </c>
      <c r="M70" s="230">
        <f t="shared" si="19"/>
        <v>453995.35655931564</v>
      </c>
      <c r="N70" s="230">
        <f t="shared" si="19"/>
        <v>1264793.3667764792</v>
      </c>
      <c r="O70" s="230">
        <f t="shared" si="19"/>
        <v>1445587.8406522071</v>
      </c>
      <c r="P70" s="230">
        <f t="shared" si="19"/>
        <v>649974.32106296241</v>
      </c>
      <c r="Q70" s="230">
        <f t="shared" si="19"/>
        <v>1757787.8892148759</v>
      </c>
      <c r="R70" s="230">
        <f t="shared" si="19"/>
        <v>1890904.3363649764</v>
      </c>
      <c r="S70" s="230">
        <f t="shared" si="19"/>
        <v>1351599.4536421308</v>
      </c>
      <c r="T70" s="230">
        <f t="shared" si="19"/>
        <v>2233045.1064438606</v>
      </c>
      <c r="U70" s="230">
        <f t="shared" si="19"/>
        <v>2415071.921326309</v>
      </c>
      <c r="V70" s="230">
        <f t="shared" si="19"/>
        <v>2674760.3948425259</v>
      </c>
      <c r="W70" s="230">
        <f t="shared" si="19"/>
        <v>1719024.5844798912</v>
      </c>
      <c r="X70" s="230">
        <f t="shared" si="19"/>
        <v>2938298.395473442</v>
      </c>
      <c r="Y70" s="230">
        <f t="shared" si="19"/>
        <v>3102961.7826502887</v>
      </c>
      <c r="Z70" s="230">
        <f t="shared" si="19"/>
        <v>2400467.0741706546</v>
      </c>
      <c r="AA70" s="230">
        <f t="shared" si="19"/>
        <v>3248053.0606725519</v>
      </c>
      <c r="AB70" s="230">
        <f t="shared" si="19"/>
        <v>3261149.3887864789</v>
      </c>
      <c r="AC70" s="230">
        <f t="shared" si="19"/>
        <v>2152079.2036214955</v>
      </c>
      <c r="AD70" s="230">
        <f t="shared" si="19"/>
        <v>3366575.1692135204</v>
      </c>
      <c r="AE70" s="230">
        <f t="shared" si="19"/>
        <v>3374694.6970920172</v>
      </c>
      <c r="AF70" s="265"/>
    </row>
    <row r="71" spans="2:33" x14ac:dyDescent="0.25">
      <c r="B71" s="559"/>
      <c r="C71" s="155"/>
      <c r="D71" s="155"/>
      <c r="E71" s="229">
        <f>AVERAGE(G71:AE71)</f>
        <v>2008812.0557879063</v>
      </c>
      <c r="F71" s="155" t="s">
        <v>331</v>
      </c>
      <c r="G71" s="229">
        <f>IF(G70&gt;0,G70,0)</f>
        <v>1987368.4443728523</v>
      </c>
      <c r="H71" s="229">
        <f>IF(H70&lt;0,0,IF(SUM($G$70:H70)-SUM($G$71:G71)&gt;0,SUM($G$70:H70)-SUM($G$71:G71),0))</f>
        <v>2310110.0038357908</v>
      </c>
      <c r="I71" s="229">
        <f>IF(I70&lt;0,0,IF(SUM($G$70:I70)-SUM($G$71:H71)&gt;0,SUM($G$70:I70)-SUM($G$71:H71),0))</f>
        <v>1861584.9844123609</v>
      </c>
      <c r="J71" s="230">
        <f>IF(J70&lt;0,0,IF(SUM($G$70:J70)-SUM($G$71:I71)&gt;0,SUM($G$70:J70)-SUM($G$71:I71),0))</f>
        <v>563513.54470177647</v>
      </c>
      <c r="K71" s="230">
        <f>IF(K70&lt;0,0,IF(SUM($G$70:K70)-SUM($G$71:J71)&gt;0,SUM($G$70:K70)-SUM($G$71:J71),0))</f>
        <v>835545.86759951152</v>
      </c>
      <c r="L71" s="230">
        <f>IF(L70&lt;0,0,IF(SUM($G$70:L70)-SUM($G$71:K71)&gt;0,SUM($G$70:L70)-SUM($G$71:K71),0))</f>
        <v>961355.20672937948</v>
      </c>
      <c r="M71" s="230">
        <f>IF(M70&lt;0,0,IF(SUM($G$70:M70)-SUM($G$71:L71)&gt;0,SUM($G$70:M70)-SUM($G$71:L71),0))</f>
        <v>453995.3565593157</v>
      </c>
      <c r="N71" s="230">
        <f>IF(N70&lt;0,0,IF(SUM($G$70:N70)-SUM($G$71:M71)&gt;0,SUM($G$70:N70)-SUM($G$71:M71),0))</f>
        <v>1264793.3667764794</v>
      </c>
      <c r="O71" s="230">
        <f>IF(O70&lt;0,0,IF(SUM($G$70:O70)-SUM($G$71:N71)&gt;0,SUM($G$70:O70)-SUM($G$71:N71),0))</f>
        <v>1445587.8406522069</v>
      </c>
      <c r="P71" s="230">
        <f>IF(P70&lt;0,0,IF(SUM($G$70:P70)-SUM($G$71:O71)&gt;0,SUM($G$70:P70)-SUM($G$71:O71),0))</f>
        <v>649974.32106296159</v>
      </c>
      <c r="Q71" s="230">
        <f>IF(Q70&lt;0,0,IF(SUM($G$70:Q70)-SUM($G$71:P71)&gt;0,SUM($G$70:Q70)-SUM($G$71:P71),0))</f>
        <v>1757787.8892148752</v>
      </c>
      <c r="R71" s="230">
        <f>IF(R70&lt;0,0,IF(SUM($G$70:R70)-SUM($G$71:Q71)&gt;0,SUM($G$70:R70)-SUM($G$71:Q71),0))</f>
        <v>1890904.3363649771</v>
      </c>
      <c r="S71" s="230">
        <f>IF(S70&lt;0,0,IF(SUM($G$70:S70)-SUM($G$71:R71)&gt;0,SUM($G$70:S70)-SUM($G$71:R71),0))</f>
        <v>1351599.4536421318</v>
      </c>
      <c r="T71" s="230">
        <f>IF(T70&lt;0,0,IF(SUM($G$70:T70)-SUM($G$71:S71)&gt;0,SUM($G$70:T70)-SUM($G$71:S71),0))</f>
        <v>2233045.1064438596</v>
      </c>
      <c r="U71" s="230">
        <f>IF(U70&lt;0,0,IF(SUM($G$70:U70)-SUM($G$71:T71)&gt;0,SUM($G$70:U70)-SUM($G$71:T71),0))</f>
        <v>2415071.9213263094</v>
      </c>
      <c r="V71" s="230">
        <f>IF(V70&lt;0,0,IF(SUM($G$70:V70)-SUM($G$71:U71)&gt;0,SUM($G$70:V70)-SUM($G$71:U71),0))</f>
        <v>2674760.3948425278</v>
      </c>
      <c r="W71" s="230">
        <f>IF(W70&lt;0,0,IF(SUM($G$70:W70)-SUM($G$71:V71)&gt;0,SUM($G$70:W70)-SUM($G$71:V71),0))</f>
        <v>1719024.5844798908</v>
      </c>
      <c r="X71" s="230">
        <f>IF(X70&lt;0,0,IF(SUM($G$70:X70)-SUM($G$71:W71)&gt;0,SUM($G$70:X70)-SUM($G$71:W71),0))</f>
        <v>2938298.395473443</v>
      </c>
      <c r="Y71" s="230">
        <f>IF(Y70&lt;0,0,IF(SUM($G$70:Y70)-SUM($G$71:X71)&gt;0,SUM($G$70:Y70)-SUM($G$71:X71),0))</f>
        <v>3102961.7826502882</v>
      </c>
      <c r="Z71" s="230">
        <f>IF(Z70&lt;0,0,IF(SUM($G$70:Z70)-SUM($G$71:Y71)&gt;0,SUM($G$70:Z70)-SUM($G$71:Y71),0))</f>
        <v>2400467.0741706528</v>
      </c>
      <c r="AA71" s="230">
        <f>IF(AA70&lt;0,0,IF(SUM($G$70:AA70)-SUM($G$71:Z71)&gt;0,SUM($G$70:AA70)-SUM($G$71:Z71),0))</f>
        <v>3248053.0606725514</v>
      </c>
      <c r="AB71" s="230">
        <f>IF(AB70&lt;0,0,IF(SUM($G$70:AB70)-SUM($G$71:AA71)&gt;0,SUM($G$70:AB70)-SUM($G$71:AA71),0))</f>
        <v>3261149.3887864798</v>
      </c>
      <c r="AC71" s="230">
        <f>IF(AC70&lt;0,0,IF(SUM($G$70:AC70)-SUM($G$71:AB71)&gt;0,SUM($G$70:AC70)-SUM($G$71:AB71),0))</f>
        <v>2152079.2036214992</v>
      </c>
      <c r="AD71" s="230">
        <f>IF(AD70&lt;0,0,IF(SUM($G$70:AD70)-SUM($G$71:AC71)&gt;0,SUM($G$70:AD70)-SUM($G$71:AC71),0))</f>
        <v>3366575.1692135185</v>
      </c>
      <c r="AE71" s="230">
        <f>IF(AE70&lt;0,0,IF(SUM($G$70:AE70)-SUM($G$71:AD71)&gt;0,SUM($G$70:AE70)-SUM($G$71:AD71),0))</f>
        <v>3374694.697092019</v>
      </c>
      <c r="AF71" s="269">
        <f>SUM(G71:AE71)</f>
        <v>50220301.394697659</v>
      </c>
    </row>
    <row r="72" spans="2:33" x14ac:dyDescent="0.25">
      <c r="B72" s="559"/>
      <c r="C72" s="155"/>
      <c r="D72" s="155"/>
      <c r="E72" s="278">
        <v>3983870</v>
      </c>
      <c r="F72" s="155" t="s">
        <v>332</v>
      </c>
      <c r="G72" s="257">
        <f t="shared" ref="G72:AE72" si="20">G66-G71</f>
        <v>3857832.862606125</v>
      </c>
      <c r="H72" s="257">
        <f t="shared" si="20"/>
        <v>4484331.1839165334</v>
      </c>
      <c r="I72" s="257">
        <f t="shared" si="20"/>
        <v>3613664.9697416406</v>
      </c>
      <c r="J72" s="230">
        <f t="shared" si="20"/>
        <v>1093879.2338328594</v>
      </c>
      <c r="K72" s="230">
        <f t="shared" si="20"/>
        <v>1621941.9782814048</v>
      </c>
      <c r="L72" s="230">
        <f t="shared" si="20"/>
        <v>1866160.1071805619</v>
      </c>
      <c r="M72" s="230">
        <f t="shared" si="20"/>
        <v>881285.10390925966</v>
      </c>
      <c r="N72" s="230">
        <f t="shared" si="20"/>
        <v>2455187.1237425767</v>
      </c>
      <c r="O72" s="230">
        <f t="shared" si="20"/>
        <v>2806141.1024425197</v>
      </c>
      <c r="P72" s="230">
        <f t="shared" si="20"/>
        <v>1261714.8585339864</v>
      </c>
      <c r="Q72" s="230">
        <f t="shared" si="20"/>
        <v>3412176.4908288773</v>
      </c>
      <c r="R72" s="230">
        <f t="shared" si="20"/>
        <v>3670579.0058849528</v>
      </c>
      <c r="S72" s="230">
        <f t="shared" si="20"/>
        <v>2623693.0570700178</v>
      </c>
      <c r="T72" s="230">
        <f t="shared" si="20"/>
        <v>4334734.6183910239</v>
      </c>
      <c r="U72" s="230">
        <f t="shared" si="20"/>
        <v>4688080.7884569522</v>
      </c>
      <c r="V72" s="230">
        <f t="shared" si="20"/>
        <v>5192181.9429296069</v>
      </c>
      <c r="W72" s="230">
        <f t="shared" si="20"/>
        <v>3336930.075755083</v>
      </c>
      <c r="X72" s="230">
        <f t="shared" si="20"/>
        <v>5703755.7088602092</v>
      </c>
      <c r="Y72" s="230">
        <f t="shared" si="20"/>
        <v>6023396.4016152658</v>
      </c>
      <c r="Z72" s="230">
        <f t="shared" si="20"/>
        <v>4659730.2028018599</v>
      </c>
      <c r="AA72" s="230">
        <f t="shared" si="20"/>
        <v>6305044.176599659</v>
      </c>
      <c r="AB72" s="230">
        <f t="shared" si="20"/>
        <v>6330466.4605855159</v>
      </c>
      <c r="AC72" s="230">
        <f t="shared" si="20"/>
        <v>4177565.5129123107</v>
      </c>
      <c r="AD72" s="230">
        <f t="shared" si="20"/>
        <v>6535116.5049438942</v>
      </c>
      <c r="AE72" s="230">
        <f t="shared" si="20"/>
        <v>6550877.9414139129</v>
      </c>
      <c r="AF72" s="269">
        <f>SUM(G72:AE72)</f>
        <v>97486467.413236603</v>
      </c>
    </row>
    <row r="73" spans="2:33" hidden="1" x14ac:dyDescent="0.25">
      <c r="B73" s="559"/>
      <c r="C73" s="155"/>
      <c r="D73" s="155"/>
      <c r="E73" s="155"/>
      <c r="F73" s="155"/>
      <c r="G73" s="155"/>
      <c r="H73" s="155"/>
      <c r="I73" s="155"/>
      <c r="J73" s="166"/>
      <c r="K73" s="166"/>
      <c r="L73" s="166"/>
      <c r="M73" s="166"/>
      <c r="N73" s="166"/>
      <c r="O73" s="166"/>
      <c r="P73" s="166"/>
      <c r="Q73" s="166"/>
      <c r="R73" s="166"/>
      <c r="S73" s="166"/>
      <c r="T73" s="166"/>
      <c r="U73" s="166"/>
      <c r="V73" s="166"/>
      <c r="W73" s="166"/>
      <c r="X73" s="166"/>
      <c r="Y73" s="166"/>
      <c r="Z73" s="166"/>
      <c r="AA73" s="166"/>
      <c r="AB73" s="166"/>
      <c r="AC73" s="166"/>
      <c r="AD73" s="166"/>
      <c r="AE73" s="166"/>
      <c r="AF73" s="265"/>
    </row>
    <row r="74" spans="2:33" ht="12.75" customHeight="1" thickBot="1" x14ac:dyDescent="0.3">
      <c r="B74" s="560"/>
      <c r="C74" s="238"/>
      <c r="D74" s="238"/>
      <c r="E74" s="238"/>
      <c r="F74" s="238"/>
      <c r="G74" s="238"/>
      <c r="H74" s="238"/>
      <c r="I74" s="238"/>
      <c r="J74" s="163"/>
      <c r="K74" s="163"/>
      <c r="L74" s="163"/>
      <c r="M74" s="163"/>
      <c r="N74" s="163"/>
      <c r="O74" s="163"/>
      <c r="P74" s="163"/>
      <c r="Q74" s="163"/>
      <c r="R74" s="163"/>
      <c r="S74" s="163"/>
      <c r="T74" s="163"/>
      <c r="U74" s="163"/>
      <c r="V74" s="163"/>
      <c r="W74" s="163"/>
      <c r="X74" s="163"/>
      <c r="Y74" s="163"/>
      <c r="Z74" s="163"/>
      <c r="AA74" s="163"/>
      <c r="AB74" s="163"/>
      <c r="AC74" s="163"/>
      <c r="AD74" s="163"/>
      <c r="AE74" s="163"/>
      <c r="AF74" s="265"/>
    </row>
    <row r="75" spans="2:33" s="288" customFormat="1" ht="0.75" hidden="1" customHeight="1" thickTop="1" thickBot="1" x14ac:dyDescent="0.3">
      <c r="B75" s="279"/>
      <c r="C75" s="280"/>
      <c r="D75" s="281" t="s">
        <v>333</v>
      </c>
      <c r="E75" s="282">
        <v>3647388.857518543</v>
      </c>
      <c r="F75" s="283" t="s">
        <v>334</v>
      </c>
      <c r="G75" s="284">
        <f>1867745.27197505*9/12</f>
        <v>1400808.9539812875</v>
      </c>
      <c r="H75" s="284">
        <v>1997583.4546964506</v>
      </c>
      <c r="I75" s="284">
        <v>2201950.8136894335</v>
      </c>
      <c r="J75" s="285">
        <v>902062.30325106205</v>
      </c>
      <c r="K75" s="285">
        <v>1628497.1913441024</v>
      </c>
      <c r="L75" s="285">
        <v>1829041.7044391176</v>
      </c>
      <c r="M75" s="285">
        <v>1403369.6876506098</v>
      </c>
      <c r="N75" s="285">
        <v>2292717.1118949978</v>
      </c>
      <c r="O75" s="285">
        <v>2562982.2837751787</v>
      </c>
      <c r="P75" s="285">
        <v>1881309.4535337901</v>
      </c>
      <c r="Q75" s="285">
        <v>3056617.0014377441</v>
      </c>
      <c r="R75" s="285">
        <v>3287302.1107770847</v>
      </c>
      <c r="S75" s="285">
        <v>2845256.4292831579</v>
      </c>
      <c r="T75" s="285">
        <v>3823304.4879691983</v>
      </c>
      <c r="U75" s="285">
        <v>4102456.5387217635</v>
      </c>
      <c r="V75" s="285">
        <v>4463663.1183175789</v>
      </c>
      <c r="W75" s="285">
        <v>3643827.8612105027</v>
      </c>
      <c r="X75" s="285">
        <v>4993355.4389593937</v>
      </c>
      <c r="Y75" s="285">
        <v>5283966.927859854</v>
      </c>
      <c r="Z75" s="285">
        <v>4831155.809409989</v>
      </c>
      <c r="AA75" s="285">
        <v>5973645.2297407109</v>
      </c>
      <c r="AB75" s="285">
        <v>6295850.1346147601</v>
      </c>
      <c r="AC75" s="285">
        <v>5543757.1879765801</v>
      </c>
      <c r="AD75" s="285">
        <v>7057176.5934049692</v>
      </c>
      <c r="AE75" s="286">
        <v>7416127.292030476</v>
      </c>
      <c r="AF75" s="269">
        <f>SUM(G75:AE75)</f>
        <v>90717785.119969815</v>
      </c>
      <c r="AG75" s="287"/>
    </row>
    <row r="76" spans="2:33" x14ac:dyDescent="0.25">
      <c r="B76" s="289"/>
      <c r="AF76" s="265"/>
    </row>
    <row r="77" spans="2:33" x14ac:dyDescent="0.25">
      <c r="B77" s="289"/>
      <c r="E77" s="290"/>
      <c r="F77" s="291" t="s">
        <v>335</v>
      </c>
      <c r="G77" s="292">
        <f t="shared" ref="G77:AE77" si="21">G59+G72</f>
        <v>8562975.6019061245</v>
      </c>
      <c r="H77" s="292">
        <f t="shared" si="21"/>
        <v>10757854.836316533</v>
      </c>
      <c r="I77" s="292">
        <f t="shared" si="21"/>
        <v>9887188.6221416406</v>
      </c>
      <c r="J77" s="293">
        <f t="shared" si="21"/>
        <v>7367402.8862328595</v>
      </c>
      <c r="K77" s="293">
        <f t="shared" si="21"/>
        <v>7895465.6306814048</v>
      </c>
      <c r="L77" s="293">
        <f t="shared" si="21"/>
        <v>8139683.7595805619</v>
      </c>
      <c r="M77" s="293">
        <f t="shared" si="21"/>
        <v>7154808.7563092597</v>
      </c>
      <c r="N77" s="293">
        <f t="shared" si="21"/>
        <v>8728710.7761425767</v>
      </c>
      <c r="O77" s="293">
        <f t="shared" si="21"/>
        <v>9079664.7548425198</v>
      </c>
      <c r="P77" s="293">
        <f t="shared" si="21"/>
        <v>7535238.5109339859</v>
      </c>
      <c r="Q77" s="293">
        <f t="shared" si="21"/>
        <v>9685700.1432288773</v>
      </c>
      <c r="R77" s="293">
        <f t="shared" si="21"/>
        <v>9944102.6582849529</v>
      </c>
      <c r="S77" s="293">
        <f t="shared" si="21"/>
        <v>8897216.7094700187</v>
      </c>
      <c r="T77" s="293">
        <f t="shared" si="21"/>
        <v>10608258.270791024</v>
      </c>
      <c r="U77" s="293">
        <f t="shared" si="21"/>
        <v>10961604.440856952</v>
      </c>
      <c r="V77" s="293">
        <f t="shared" si="21"/>
        <v>11465705.595329607</v>
      </c>
      <c r="W77" s="293">
        <f t="shared" si="21"/>
        <v>9610453.728155084</v>
      </c>
      <c r="X77" s="293">
        <f t="shared" si="21"/>
        <v>11977279.361260209</v>
      </c>
      <c r="Y77" s="293">
        <f t="shared" si="21"/>
        <v>12296920.054015266</v>
      </c>
      <c r="Z77" s="293">
        <f t="shared" si="21"/>
        <v>10933253.855201859</v>
      </c>
      <c r="AA77" s="293">
        <f t="shared" si="21"/>
        <v>12578567.828999659</v>
      </c>
      <c r="AB77" s="293">
        <f t="shared" si="21"/>
        <v>12603990.112985516</v>
      </c>
      <c r="AC77" s="293">
        <f t="shared" si="21"/>
        <v>10451089.165312311</v>
      </c>
      <c r="AD77" s="293">
        <f t="shared" si="21"/>
        <v>12808640.157343894</v>
      </c>
      <c r="AE77" s="293">
        <f t="shared" si="21"/>
        <v>12824401.593813913</v>
      </c>
      <c r="AF77" s="269">
        <f>SUM(G77:AE77)</f>
        <v>252756177.81013665</v>
      </c>
    </row>
    <row r="78" spans="2:33" x14ac:dyDescent="0.25">
      <c r="B78" s="289"/>
      <c r="F78" s="291" t="s">
        <v>336</v>
      </c>
      <c r="G78" s="292">
        <f>G77-F57/25*9/12</f>
        <v>4712672.1319061238</v>
      </c>
      <c r="H78" s="292">
        <f>H77-$F$57/25</f>
        <v>5624116.8763165334</v>
      </c>
      <c r="I78" s="292">
        <f>I77-$F$57/25</f>
        <v>4753450.6621416407</v>
      </c>
      <c r="J78" s="292">
        <f>J77-$F$57/25</f>
        <v>2233664.9262328595</v>
      </c>
      <c r="K78" s="293">
        <f>K77-'emprunt bzp2 (4,97)'!J6</f>
        <v>2761727.6706814049</v>
      </c>
      <c r="L78" s="293">
        <f>L77-'emprunt bzp2 (4,97)'!J7</f>
        <v>3005945.7995805619</v>
      </c>
      <c r="M78" s="293">
        <f>M77-'emprunt bzp2 (4,97)'!J8</f>
        <v>2021070.7963092597</v>
      </c>
      <c r="N78" s="293">
        <f>N77-'emprunt bzp2 (4,97)'!J9</f>
        <v>3594972.8161425767</v>
      </c>
      <c r="O78" s="293">
        <f>O77-'emprunt bzp2 (4,97)'!J10</f>
        <v>3945926.7948425198</v>
      </c>
      <c r="P78" s="293">
        <f>P77-'emprunt bzp2 (4,97)'!J11</f>
        <v>2401500.550933986</v>
      </c>
      <c r="Q78" s="293">
        <f>Q77-'emprunt bzp2 (4,97)'!J12</f>
        <v>4551962.1832288774</v>
      </c>
      <c r="R78" s="293">
        <f>R77-'emprunt bzp2 (4,97)'!J13</f>
        <v>4810364.6982849529</v>
      </c>
      <c r="S78" s="293">
        <f>S77-'emprunt bzp2 (4,97)'!J14</f>
        <v>3763478.7494700188</v>
      </c>
      <c r="T78" s="293">
        <f>T77-'emprunt bzp2 (4,97)'!J15</f>
        <v>5474520.310791024</v>
      </c>
      <c r="U78" s="293">
        <f>U77-'emprunt bzp2 (4,97)'!J16</f>
        <v>5827866.4808569523</v>
      </c>
      <c r="V78" s="293">
        <f>V77-'emprunt bzp2 (4,97)'!J17</f>
        <v>6331967.6353296069</v>
      </c>
      <c r="W78" s="293">
        <f>W77-'emprunt bzp2 (4,97)'!J18</f>
        <v>4476715.768155084</v>
      </c>
      <c r="X78" s="293">
        <f>X77-'emprunt bzp2 (4,97)'!J19</f>
        <v>6843541.4012602093</v>
      </c>
      <c r="Y78" s="293">
        <f>Y77-'emprunt bzp2 (4,97)'!N20</f>
        <v>9145052.9702473432</v>
      </c>
      <c r="Z78" s="293">
        <f>Z77-'emprunt bzp2 (4,97)'!O20</f>
        <v>10933253.855201859</v>
      </c>
      <c r="AA78" s="293">
        <f>AA77-'emprunt bzp2 (4,97)'!P20</f>
        <v>12578567.828999659</v>
      </c>
      <c r="AB78" s="293">
        <f>AB77-'emprunt bzp2 (4,97)'!Q20</f>
        <v>12603990.112985516</v>
      </c>
      <c r="AC78" s="293">
        <f>AC77-'emprunt bzp2 (4,97)'!R20</f>
        <v>10451089.165312311</v>
      </c>
      <c r="AD78" s="293">
        <f>AD77-'emprunt bzp2 (4,97)'!S20</f>
        <v>12808640.157343894</v>
      </c>
      <c r="AE78" s="293">
        <f>AE77-'emprunt bzp2 (4,97)'!T20</f>
        <v>12824401.593813913</v>
      </c>
      <c r="AF78" s="269">
        <f>SUM(G77:Y77)-SUM(G78:Y78)</f>
        <v>94275715.873767897</v>
      </c>
      <c r="AG78" s="269">
        <f>'emprunt bzp2 (4,97)'!N28</f>
        <v>94275715.873767897</v>
      </c>
    </row>
    <row r="79" spans="2:33" x14ac:dyDescent="0.25">
      <c r="B79" s="289"/>
      <c r="F79" s="291" t="s">
        <v>337</v>
      </c>
      <c r="G79" s="294">
        <f t="shared" ref="G79:X79" si="22">(G78-500000)/2</f>
        <v>2106336.0659530619</v>
      </c>
      <c r="H79" s="294">
        <f>(H78-500000)/2</f>
        <v>2562058.4381582667</v>
      </c>
      <c r="I79" s="294">
        <f t="shared" si="22"/>
        <v>2126725.3310708203</v>
      </c>
      <c r="J79" s="294">
        <f t="shared" si="22"/>
        <v>866832.46311642975</v>
      </c>
      <c r="K79" s="294">
        <f t="shared" si="22"/>
        <v>1130863.8353407024</v>
      </c>
      <c r="L79" s="294">
        <f t="shared" si="22"/>
        <v>1252972.899790281</v>
      </c>
      <c r="M79" s="294">
        <f t="shared" si="22"/>
        <v>760535.39815462986</v>
      </c>
      <c r="N79" s="294">
        <f t="shared" si="22"/>
        <v>1547486.4080712884</v>
      </c>
      <c r="O79" s="294">
        <f t="shared" si="22"/>
        <v>1722963.3974212599</v>
      </c>
      <c r="P79" s="294">
        <f t="shared" si="22"/>
        <v>950750.27546699299</v>
      </c>
      <c r="Q79" s="294">
        <f t="shared" si="22"/>
        <v>2025981.0916144387</v>
      </c>
      <c r="R79" s="294">
        <f t="shared" si="22"/>
        <v>2155182.3491424765</v>
      </c>
      <c r="S79" s="294">
        <f t="shared" si="22"/>
        <v>1631739.3747350094</v>
      </c>
      <c r="T79" s="294">
        <f t="shared" si="22"/>
        <v>2487260.155395512</v>
      </c>
      <c r="U79" s="294">
        <f t="shared" si="22"/>
        <v>2663933.2404284761</v>
      </c>
      <c r="V79" s="294">
        <f t="shared" si="22"/>
        <v>2915983.8176648035</v>
      </c>
      <c r="W79" s="294">
        <f t="shared" si="22"/>
        <v>1988357.884077542</v>
      </c>
      <c r="X79" s="294">
        <f t="shared" si="22"/>
        <v>3171770.7006301046</v>
      </c>
      <c r="Y79" s="294">
        <f>'emprunt bzp2 (4,97)'!L21</f>
        <v>0</v>
      </c>
      <c r="Z79" s="294">
        <v>0</v>
      </c>
      <c r="AA79" s="294">
        <v>0</v>
      </c>
      <c r="AB79" s="294"/>
      <c r="AC79" s="294"/>
      <c r="AD79" s="294"/>
      <c r="AE79" s="294"/>
      <c r="AF79" s="269">
        <f>SUM(G79:AE79)</f>
        <v>34067733.126232095</v>
      </c>
      <c r="AG79" s="269">
        <f>'emprunt bzp2 (4,97)'!N29</f>
        <v>34067733.126232028</v>
      </c>
    </row>
    <row r="80" spans="2:33" x14ac:dyDescent="0.25">
      <c r="B80" s="289"/>
      <c r="F80" s="295"/>
      <c r="G80" s="296"/>
      <c r="H80" s="296"/>
      <c r="I80" s="296"/>
      <c r="J80" s="296"/>
      <c r="K80" s="297"/>
      <c r="L80" s="297"/>
      <c r="M80" s="297"/>
      <c r="N80" s="297"/>
      <c r="O80" s="297"/>
      <c r="P80" s="297"/>
      <c r="Q80" s="297"/>
      <c r="R80" s="297"/>
      <c r="S80" s="297"/>
      <c r="T80" s="297"/>
      <c r="U80" s="297"/>
      <c r="V80" s="297"/>
      <c r="W80" s="297"/>
      <c r="X80" s="297"/>
      <c r="Y80" s="297"/>
      <c r="Z80" s="297"/>
      <c r="AA80" s="297"/>
      <c r="AB80" s="297"/>
      <c r="AC80" s="297"/>
      <c r="AD80" s="297"/>
      <c r="AE80" s="297"/>
      <c r="AF80" s="265"/>
      <c r="AG80" s="265">
        <f>SUM(AG78:AG79)</f>
        <v>128343448.99999993</v>
      </c>
    </row>
    <row r="81" spans="2:33" s="160" customFormat="1" x14ac:dyDescent="0.25">
      <c r="B81" s="298"/>
      <c r="F81" s="299" t="s">
        <v>338</v>
      </c>
      <c r="G81" s="300"/>
      <c r="H81" s="300">
        <f t="shared" ref="H81:AE81" si="23">G83</f>
        <v>-3393663.934046939</v>
      </c>
      <c r="I81" s="300">
        <f t="shared" si="23"/>
        <v>-8331605.4958886728</v>
      </c>
      <c r="J81" s="300">
        <f t="shared" si="23"/>
        <v>-13704880.164817853</v>
      </c>
      <c r="K81" s="300">
        <f t="shared" si="23"/>
        <v>-12338047.701701423</v>
      </c>
      <c r="L81" s="300">
        <f t="shared" si="23"/>
        <v>-10707183.866360722</v>
      </c>
      <c r="M81" s="300">
        <f t="shared" si="23"/>
        <v>-8954210.9665704407</v>
      </c>
      <c r="N81" s="300">
        <f t="shared" si="23"/>
        <v>-7693675.5684158113</v>
      </c>
      <c r="O81" s="300">
        <f t="shared" si="23"/>
        <v>-5646189.1603445224</v>
      </c>
      <c r="P81" s="300">
        <f t="shared" si="23"/>
        <v>-3423225.7629232625</v>
      </c>
      <c r="Q81" s="300">
        <f t="shared" si="23"/>
        <v>-1972475.4874562696</v>
      </c>
      <c r="R81" s="300">
        <f t="shared" si="23"/>
        <v>553505.60415816912</v>
      </c>
      <c r="S81" s="300">
        <f t="shared" si="23"/>
        <v>3208687.953300646</v>
      </c>
      <c r="T81" s="300">
        <f t="shared" si="23"/>
        <v>5340427.3280356564</v>
      </c>
      <c r="U81" s="300">
        <f t="shared" si="23"/>
        <v>8327687.4834311679</v>
      </c>
      <c r="V81" s="300">
        <f t="shared" si="23"/>
        <v>11491620.723859644</v>
      </c>
      <c r="W81" s="300">
        <f t="shared" si="23"/>
        <v>14907604.541524446</v>
      </c>
      <c r="X81" s="300">
        <f t="shared" si="23"/>
        <v>17395962.425601989</v>
      </c>
      <c r="Y81" s="300">
        <f t="shared" si="23"/>
        <v>21067733.126232091</v>
      </c>
      <c r="Z81" s="300">
        <f t="shared" si="23"/>
        <v>30212786.096479435</v>
      </c>
      <c r="AA81" s="300">
        <f t="shared" si="23"/>
        <v>41146039.951681294</v>
      </c>
      <c r="AB81" s="300">
        <f t="shared" si="23"/>
        <v>53724607.780680954</v>
      </c>
      <c r="AC81" s="300">
        <f t="shared" si="23"/>
        <v>66328597.893666469</v>
      </c>
      <c r="AD81" s="300">
        <f t="shared" si="23"/>
        <v>76779687.058978781</v>
      </c>
      <c r="AE81" s="300">
        <f t="shared" si="23"/>
        <v>89588327.216322675</v>
      </c>
      <c r="AF81" s="265"/>
      <c r="AG81" s="265">
        <f>'emprunt bzp2 (4,97)'!N30</f>
        <v>128343448.99999993</v>
      </c>
    </row>
    <row r="82" spans="2:33" s="160" customFormat="1" x14ac:dyDescent="0.25">
      <c r="B82" s="298"/>
      <c r="F82" s="299" t="s">
        <v>339</v>
      </c>
      <c r="G82" s="300">
        <f>G78-G47+22000000+9315000</f>
        <v>20712672.131906122</v>
      </c>
      <c r="H82" s="300">
        <f>H78-H47+12420000</f>
        <v>-2375883.1236834675</v>
      </c>
      <c r="I82" s="300">
        <f>I78-I47+12420000</f>
        <v>-3246549.3378583603</v>
      </c>
      <c r="J82" s="300">
        <f>J78</f>
        <v>2233664.9262328595</v>
      </c>
      <c r="K82" s="300">
        <f>K78</f>
        <v>2761727.6706814049</v>
      </c>
      <c r="L82" s="300">
        <f>L78</f>
        <v>3005945.7995805619</v>
      </c>
      <c r="M82" s="300">
        <f>M78</f>
        <v>2021070.7963092597</v>
      </c>
      <c r="N82" s="300">
        <f t="shared" ref="N82:AA82" si="24">N78</f>
        <v>3594972.8161425767</v>
      </c>
      <c r="O82" s="300">
        <f t="shared" si="24"/>
        <v>3945926.7948425198</v>
      </c>
      <c r="P82" s="300">
        <f t="shared" si="24"/>
        <v>2401500.550933986</v>
      </c>
      <c r="Q82" s="300">
        <f t="shared" si="24"/>
        <v>4551962.1832288774</v>
      </c>
      <c r="R82" s="300">
        <f t="shared" si="24"/>
        <v>4810364.6982849529</v>
      </c>
      <c r="S82" s="300">
        <f t="shared" si="24"/>
        <v>3763478.7494700188</v>
      </c>
      <c r="T82" s="300">
        <f t="shared" si="24"/>
        <v>5474520.310791024</v>
      </c>
      <c r="U82" s="300">
        <f>U78</f>
        <v>5827866.4808569523</v>
      </c>
      <c r="V82" s="300">
        <f>V78</f>
        <v>6331967.6353296069</v>
      </c>
      <c r="W82" s="300">
        <f>W78</f>
        <v>4476715.768155084</v>
      </c>
      <c r="X82" s="300">
        <f>X78</f>
        <v>6843541.4012602093</v>
      </c>
      <c r="Y82" s="300">
        <f>Y78</f>
        <v>9145052.9702473432</v>
      </c>
      <c r="Z82" s="300">
        <f t="shared" si="24"/>
        <v>10933253.855201859</v>
      </c>
      <c r="AA82" s="300">
        <f t="shared" si="24"/>
        <v>12578567.828999659</v>
      </c>
      <c r="AB82" s="300">
        <f>AB78</f>
        <v>12603990.112985516</v>
      </c>
      <c r="AC82" s="300">
        <f>AC78</f>
        <v>10451089.165312311</v>
      </c>
      <c r="AD82" s="300">
        <f>AD78</f>
        <v>12808640.157343894</v>
      </c>
      <c r="AE82" s="300">
        <f>AE78</f>
        <v>12824401.593813913</v>
      </c>
      <c r="AF82" s="265"/>
    </row>
    <row r="83" spans="2:33" s="160" customFormat="1" x14ac:dyDescent="0.25">
      <c r="B83" s="298"/>
      <c r="F83" s="299" t="s">
        <v>340</v>
      </c>
      <c r="G83" s="300">
        <f>G81+G82-G79-22000000</f>
        <v>-3393663.934046939</v>
      </c>
      <c r="H83" s="300">
        <f t="shared" ref="H83:AE83" si="25">H81+H82-H79</f>
        <v>-8331605.4958886728</v>
      </c>
      <c r="I83" s="300">
        <f t="shared" si="25"/>
        <v>-13704880.164817853</v>
      </c>
      <c r="J83" s="300">
        <f t="shared" si="25"/>
        <v>-12338047.701701423</v>
      </c>
      <c r="K83" s="300">
        <f t="shared" si="25"/>
        <v>-10707183.866360722</v>
      </c>
      <c r="L83" s="300">
        <f t="shared" si="25"/>
        <v>-8954210.9665704407</v>
      </c>
      <c r="M83" s="300">
        <f t="shared" si="25"/>
        <v>-7693675.5684158113</v>
      </c>
      <c r="N83" s="300">
        <f t="shared" si="25"/>
        <v>-5646189.1603445224</v>
      </c>
      <c r="O83" s="300">
        <f t="shared" si="25"/>
        <v>-3423225.7629232625</v>
      </c>
      <c r="P83" s="300">
        <f t="shared" si="25"/>
        <v>-1972475.4874562696</v>
      </c>
      <c r="Q83" s="300">
        <f t="shared" si="25"/>
        <v>553505.60415816912</v>
      </c>
      <c r="R83" s="300">
        <f t="shared" si="25"/>
        <v>3208687.953300646</v>
      </c>
      <c r="S83" s="300">
        <f t="shared" si="25"/>
        <v>5340427.3280356564</v>
      </c>
      <c r="T83" s="300">
        <f t="shared" si="25"/>
        <v>8327687.4834311679</v>
      </c>
      <c r="U83" s="300">
        <f t="shared" si="25"/>
        <v>11491620.723859644</v>
      </c>
      <c r="V83" s="300">
        <f t="shared" si="25"/>
        <v>14907604.541524446</v>
      </c>
      <c r="W83" s="300">
        <f t="shared" si="25"/>
        <v>17395962.425601989</v>
      </c>
      <c r="X83" s="300">
        <f t="shared" si="25"/>
        <v>21067733.126232091</v>
      </c>
      <c r="Y83" s="300">
        <f t="shared" si="25"/>
        <v>30212786.096479435</v>
      </c>
      <c r="Z83" s="300">
        <f t="shared" si="25"/>
        <v>41146039.951681294</v>
      </c>
      <c r="AA83" s="300">
        <f t="shared" si="25"/>
        <v>53724607.780680954</v>
      </c>
      <c r="AB83" s="300">
        <f t="shared" si="25"/>
        <v>66328597.893666469</v>
      </c>
      <c r="AC83" s="300">
        <f t="shared" si="25"/>
        <v>76779687.058978781</v>
      </c>
      <c r="AD83" s="300">
        <f t="shared" si="25"/>
        <v>89588327.216322675</v>
      </c>
      <c r="AE83" s="300">
        <f t="shared" si="25"/>
        <v>102412728.81013659</v>
      </c>
      <c r="AF83" s="265">
        <f>SUM(G78:AE78)</f>
        <v>158480461.9363687</v>
      </c>
    </row>
    <row r="84" spans="2:33" ht="13.5" thickBot="1" x14ac:dyDescent="0.3">
      <c r="B84" s="289"/>
      <c r="F84" s="295"/>
      <c r="G84" s="296"/>
      <c r="H84" s="296"/>
      <c r="I84" s="296"/>
      <c r="J84" s="296"/>
      <c r="K84" s="297"/>
      <c r="L84" s="297"/>
      <c r="M84" s="297"/>
      <c r="N84" s="297"/>
      <c r="O84" s="297"/>
      <c r="P84" s="297"/>
      <c r="Q84" s="297"/>
      <c r="R84" s="297"/>
      <c r="S84" s="297"/>
      <c r="T84" s="297"/>
      <c r="U84" s="297"/>
      <c r="V84" s="297"/>
      <c r="W84" s="297"/>
      <c r="X84" s="297"/>
      <c r="Y84" s="297"/>
      <c r="Z84" s="297"/>
      <c r="AA84" s="297"/>
      <c r="AB84" s="297"/>
      <c r="AC84" s="297"/>
      <c r="AD84" s="297"/>
      <c r="AE84" s="297">
        <f>AF84-AE83</f>
        <v>22000000.00000003</v>
      </c>
      <c r="AF84" s="265">
        <f>AF83-AF79</f>
        <v>124412728.81013662</v>
      </c>
    </row>
    <row r="85" spans="2:33" ht="16.5" customHeight="1" x14ac:dyDescent="0.25">
      <c r="B85" s="289"/>
      <c r="F85" s="301" t="s">
        <v>341</v>
      </c>
      <c r="G85" s="302"/>
      <c r="H85" s="303">
        <v>200</v>
      </c>
      <c r="I85" s="304"/>
      <c r="K85" s="305" t="s">
        <v>342</v>
      </c>
      <c r="L85" s="306"/>
      <c r="M85" s="306"/>
      <c r="N85" s="307"/>
      <c r="AE85" s="308"/>
      <c r="AF85" s="269"/>
    </row>
    <row r="86" spans="2:33" ht="13.5" thickBot="1" x14ac:dyDescent="0.3">
      <c r="B86" s="289"/>
      <c r="F86" s="309" t="s">
        <v>343</v>
      </c>
      <c r="G86" s="310"/>
      <c r="H86" s="311">
        <f>F56+F57</f>
        <v>156838091.31</v>
      </c>
      <c r="I86" s="312"/>
      <c r="J86" s="293"/>
      <c r="K86" s="313" t="s">
        <v>344</v>
      </c>
      <c r="L86" s="314">
        <v>0.93</v>
      </c>
      <c r="M86" s="315" t="s">
        <v>345</v>
      </c>
      <c r="N86" s="316"/>
      <c r="O86" s="293"/>
      <c r="P86" s="293"/>
      <c r="Q86" s="293"/>
      <c r="R86" s="293"/>
      <c r="S86" s="293"/>
      <c r="T86" s="293"/>
      <c r="U86" s="293"/>
      <c r="V86" s="293"/>
      <c r="W86" s="293"/>
      <c r="X86" s="293"/>
      <c r="Y86" s="293"/>
      <c r="Z86" s="293"/>
      <c r="AA86" s="293"/>
      <c r="AB86" s="293"/>
      <c r="AC86" s="293"/>
      <c r="AD86" s="293"/>
      <c r="AE86" s="317"/>
      <c r="AF86" s="269"/>
    </row>
    <row r="87" spans="2:33" ht="13.5" thickBot="1" x14ac:dyDescent="0.3">
      <c r="B87" s="289"/>
      <c r="F87" s="318" t="s">
        <v>346</v>
      </c>
      <c r="G87" s="319"/>
      <c r="H87" s="320">
        <v>0.17280000000000001</v>
      </c>
      <c r="I87" s="321"/>
      <c r="J87" s="293"/>
      <c r="K87" s="293"/>
      <c r="L87" s="293"/>
      <c r="M87" s="293"/>
      <c r="N87" s="293"/>
      <c r="O87" s="293"/>
      <c r="P87" s="293"/>
      <c r="Q87" s="293"/>
      <c r="R87" s="293"/>
      <c r="S87" s="293"/>
      <c r="T87" s="293"/>
      <c r="U87" s="293"/>
      <c r="V87" s="293"/>
      <c r="W87" s="293"/>
      <c r="X87" s="293"/>
      <c r="Y87" s="293"/>
      <c r="Z87" s="293"/>
      <c r="AA87" s="293"/>
      <c r="AB87" s="293"/>
      <c r="AC87" s="293"/>
      <c r="AD87" s="293"/>
      <c r="AE87" s="293"/>
      <c r="AF87" s="265"/>
    </row>
    <row r="88" spans="2:33" x14ac:dyDescent="0.25">
      <c r="F88" s="301" t="s">
        <v>347</v>
      </c>
      <c r="G88" s="322"/>
      <c r="H88" s="323">
        <v>4.4999999999999998E-2</v>
      </c>
      <c r="I88" s="324">
        <v>2010</v>
      </c>
      <c r="J88" s="293"/>
      <c r="K88" s="293"/>
      <c r="L88" s="293"/>
      <c r="M88" s="293"/>
      <c r="N88" s="293"/>
      <c r="O88" s="293"/>
      <c r="P88" s="293"/>
      <c r="Q88" s="293"/>
      <c r="R88" s="293"/>
      <c r="S88" s="293"/>
      <c r="T88" s="293"/>
      <c r="U88" s="293"/>
      <c r="V88" s="293"/>
      <c r="W88" s="293"/>
      <c r="X88" s="293"/>
      <c r="Y88" s="293"/>
      <c r="Z88" s="293"/>
      <c r="AA88" s="293"/>
      <c r="AB88" s="293"/>
      <c r="AC88" s="293"/>
      <c r="AD88" s="293"/>
      <c r="AE88" s="293"/>
    </row>
    <row r="89" spans="2:33" x14ac:dyDescent="0.25">
      <c r="F89" s="325"/>
      <c r="G89" s="326"/>
      <c r="H89" s="327">
        <v>4.65E-2</v>
      </c>
      <c r="I89" s="328">
        <v>2011</v>
      </c>
    </row>
    <row r="90" spans="2:33" x14ac:dyDescent="0.25">
      <c r="F90" s="309"/>
      <c r="G90" s="329"/>
      <c r="H90" s="330">
        <v>4.8500000000000001E-2</v>
      </c>
      <c r="I90" s="331">
        <v>2012</v>
      </c>
    </row>
    <row r="91" spans="2:33" ht="13.5" thickBot="1" x14ac:dyDescent="0.3">
      <c r="F91" s="332"/>
      <c r="G91" s="333"/>
      <c r="H91" s="334">
        <v>5.1999999999999998E-2</v>
      </c>
      <c r="I91" s="335">
        <v>2013</v>
      </c>
    </row>
    <row r="92" spans="2:33" ht="13.5" thickBot="1" x14ac:dyDescent="0.3">
      <c r="D92" s="290"/>
      <c r="E92" s="290"/>
      <c r="F92" s="336" t="s">
        <v>348</v>
      </c>
      <c r="G92" s="337"/>
      <c r="H92" s="337"/>
      <c r="I92" s="338"/>
    </row>
    <row r="93" spans="2:33" x14ac:dyDescent="0.25">
      <c r="D93" s="290"/>
      <c r="E93" s="290"/>
      <c r="F93" s="206"/>
      <c r="G93" s="206"/>
      <c r="H93" s="206"/>
      <c r="I93" s="206"/>
    </row>
    <row r="94" spans="2:33" x14ac:dyDescent="0.25">
      <c r="D94" s="290"/>
      <c r="E94" s="290"/>
      <c r="G94" s="339">
        <f>+G79+'emprunt bzp2 (4,97)'!N2</f>
        <v>5956639.5359530617</v>
      </c>
      <c r="H94" s="339">
        <f>+H79+'emprunt bzp2 (4,97)'!N3</f>
        <v>7695796.3981582671</v>
      </c>
      <c r="I94" s="339">
        <f>+I79+'emprunt bzp2 (4,97)'!N4</f>
        <v>7260463.2910708208</v>
      </c>
      <c r="J94" s="339">
        <f>+J79+'emprunt bzp2 (4,97)'!N5</f>
        <v>6000570.4231164297</v>
      </c>
      <c r="K94" s="339">
        <f>+K79+'emprunt bzp2 (4,97)'!N6</f>
        <v>6264601.7953407019</v>
      </c>
      <c r="L94" s="339">
        <f>+L79+'emprunt bzp2 (4,97)'!N7</f>
        <v>6386710.8597902805</v>
      </c>
    </row>
    <row r="95" spans="2:33" x14ac:dyDescent="0.25">
      <c r="D95" s="290"/>
      <c r="E95" s="290"/>
    </row>
    <row r="96" spans="2:33" x14ac:dyDescent="0.25">
      <c r="D96" s="290"/>
      <c r="E96" s="290"/>
    </row>
    <row r="97" spans="2:31" x14ac:dyDescent="0.25">
      <c r="D97" s="290"/>
      <c r="E97" s="290"/>
      <c r="F97" s="191" t="s">
        <v>354</v>
      </c>
      <c r="H97" s="388">
        <f>+H58</f>
        <v>18758951.480230507</v>
      </c>
      <c r="I97" s="388">
        <f t="shared" ref="I97:AE97" si="26">+I58</f>
        <v>17311287.7402496</v>
      </c>
      <c r="J97" s="388">
        <f t="shared" si="26"/>
        <v>13517305.019225165</v>
      </c>
      <c r="K97" s="388">
        <f t="shared" si="26"/>
        <v>14005370.424569391</v>
      </c>
      <c r="L97" s="388">
        <f t="shared" si="26"/>
        <v>14049638.5992407</v>
      </c>
      <c r="M97" s="388">
        <f t="shared" si="26"/>
        <v>12225294.781090239</v>
      </c>
      <c r="N97" s="388">
        <f t="shared" si="26"/>
        <v>14303492.596516678</v>
      </c>
      <c r="O97" s="388">
        <f t="shared" si="26"/>
        <v>14487817.381952643</v>
      </c>
      <c r="P97" s="388">
        <f t="shared" si="26"/>
        <v>11791229.147868959</v>
      </c>
      <c r="Q97" s="388">
        <f t="shared" si="26"/>
        <v>14733110.96007148</v>
      </c>
      <c r="R97" s="388">
        <f t="shared" si="26"/>
        <v>14752324.531593706</v>
      </c>
      <c r="S97" s="388">
        <f t="shared" si="26"/>
        <v>12787109.843980517</v>
      </c>
      <c r="T97" s="388">
        <f t="shared" si="26"/>
        <v>15027792.236697031</v>
      </c>
      <c r="U97" s="388">
        <f t="shared" si="26"/>
        <v>15166873.319644842</v>
      </c>
      <c r="V97" s="388">
        <f t="shared" si="26"/>
        <v>15525184.045211434</v>
      </c>
      <c r="W97" s="388">
        <f t="shared" si="26"/>
        <v>12295610.835235704</v>
      </c>
      <c r="X97" s="388">
        <f t="shared" si="26"/>
        <v>15511361.29544235</v>
      </c>
      <c r="Y97" s="388">
        <f t="shared" si="26"/>
        <v>15563778.925021486</v>
      </c>
      <c r="Z97" s="388">
        <f t="shared" si="26"/>
        <v>13333720.929372512</v>
      </c>
      <c r="AA97" s="388">
        <f t="shared" si="26"/>
        <v>15826620.88967221</v>
      </c>
      <c r="AB97" s="388">
        <f t="shared" si="26"/>
        <v>15865139.501771996</v>
      </c>
      <c r="AC97" s="388">
        <f t="shared" si="26"/>
        <v>12603168.36893381</v>
      </c>
      <c r="AD97" s="388">
        <f t="shared" si="26"/>
        <v>16175215.326557413</v>
      </c>
      <c r="AE97" s="388">
        <f t="shared" si="26"/>
        <v>16199096.290905932</v>
      </c>
    </row>
    <row r="98" spans="2:31" x14ac:dyDescent="0.25">
      <c r="D98" s="290"/>
      <c r="E98" s="290"/>
      <c r="F98" s="191" t="s">
        <v>174</v>
      </c>
      <c r="H98" s="388">
        <f>-H59</f>
        <v>-6273523.6524</v>
      </c>
      <c r="I98" s="388">
        <f>-I59</f>
        <v>-6273523.6524</v>
      </c>
      <c r="J98" s="388">
        <f>-J59</f>
        <v>-6273523.6524</v>
      </c>
      <c r="K98" s="388">
        <f t="shared" ref="K98:AE98" si="27">-K59</f>
        <v>-6273523.6524</v>
      </c>
      <c r="L98" s="388">
        <f t="shared" si="27"/>
        <v>-6273523.6524</v>
      </c>
      <c r="M98" s="388">
        <f t="shared" si="27"/>
        <v>-6273523.6524</v>
      </c>
      <c r="N98" s="388">
        <f t="shared" si="27"/>
        <v>-6273523.6524</v>
      </c>
      <c r="O98" s="388">
        <f t="shared" si="27"/>
        <v>-6273523.6524</v>
      </c>
      <c r="P98" s="388">
        <f t="shared" si="27"/>
        <v>-6273523.6524</v>
      </c>
      <c r="Q98" s="388">
        <f t="shared" si="27"/>
        <v>-6273523.6524</v>
      </c>
      <c r="R98" s="388">
        <f t="shared" si="27"/>
        <v>-6273523.6524</v>
      </c>
      <c r="S98" s="388">
        <f t="shared" si="27"/>
        <v>-6273523.6524</v>
      </c>
      <c r="T98" s="388">
        <f t="shared" si="27"/>
        <v>-6273523.6524</v>
      </c>
      <c r="U98" s="388">
        <f t="shared" si="27"/>
        <v>-6273523.6524</v>
      </c>
      <c r="V98" s="388">
        <f t="shared" si="27"/>
        <v>-6273523.6524</v>
      </c>
      <c r="W98" s="388">
        <f t="shared" si="27"/>
        <v>-6273523.6524</v>
      </c>
      <c r="X98" s="388">
        <f t="shared" si="27"/>
        <v>-6273523.6524</v>
      </c>
      <c r="Y98" s="388">
        <f t="shared" si="27"/>
        <v>-6273523.6524</v>
      </c>
      <c r="Z98" s="388">
        <f t="shared" si="27"/>
        <v>-6273523.6524</v>
      </c>
      <c r="AA98" s="388">
        <f t="shared" si="27"/>
        <v>-6273523.6524</v>
      </c>
      <c r="AB98" s="388">
        <f t="shared" si="27"/>
        <v>-6273523.6524</v>
      </c>
      <c r="AC98" s="388">
        <f t="shared" si="27"/>
        <v>-6273523.6524</v>
      </c>
      <c r="AD98" s="388">
        <f t="shared" si="27"/>
        <v>-6273523.6524</v>
      </c>
      <c r="AE98" s="388">
        <f t="shared" si="27"/>
        <v>-6273523.6524</v>
      </c>
    </row>
    <row r="99" spans="2:31" x14ac:dyDescent="0.25">
      <c r="D99" s="290"/>
      <c r="E99" s="290"/>
      <c r="F99" s="191" t="s">
        <v>355</v>
      </c>
      <c r="H99" s="388">
        <f>+H97+H98</f>
        <v>12485427.827830506</v>
      </c>
      <c r="I99" s="388">
        <f>+I97+I98</f>
        <v>11037764.0878496</v>
      </c>
      <c r="J99" s="388">
        <f>+J97+J98</f>
        <v>7243781.3668251652</v>
      </c>
      <c r="K99" s="388">
        <f t="shared" ref="K99:AE99" si="28">+K97+K98</f>
        <v>7731846.7721693907</v>
      </c>
      <c r="L99" s="388">
        <f t="shared" si="28"/>
        <v>7776114.9468406998</v>
      </c>
      <c r="M99" s="388">
        <f t="shared" si="28"/>
        <v>5951771.128690239</v>
      </c>
      <c r="N99" s="388">
        <f t="shared" si="28"/>
        <v>8029968.9441166781</v>
      </c>
      <c r="O99" s="388">
        <f t="shared" si="28"/>
        <v>8214293.7295526434</v>
      </c>
      <c r="P99" s="388">
        <f t="shared" si="28"/>
        <v>5517705.4954689592</v>
      </c>
      <c r="Q99" s="388">
        <f t="shared" si="28"/>
        <v>8459587.3076714799</v>
      </c>
      <c r="R99" s="388">
        <f t="shared" si="28"/>
        <v>8478800.8791937064</v>
      </c>
      <c r="S99" s="388">
        <f t="shared" si="28"/>
        <v>6513586.1915805172</v>
      </c>
      <c r="T99" s="388">
        <f t="shared" si="28"/>
        <v>8754268.5842970312</v>
      </c>
      <c r="U99" s="388">
        <f t="shared" si="28"/>
        <v>8893349.6672448423</v>
      </c>
      <c r="V99" s="388">
        <f t="shared" si="28"/>
        <v>9251660.3928114343</v>
      </c>
      <c r="W99" s="388">
        <f t="shared" si="28"/>
        <v>6022087.1828357037</v>
      </c>
      <c r="X99" s="388">
        <f t="shared" si="28"/>
        <v>9237837.6430423502</v>
      </c>
      <c r="Y99" s="388">
        <f t="shared" si="28"/>
        <v>9290255.2726214863</v>
      </c>
      <c r="Z99" s="388">
        <f t="shared" si="28"/>
        <v>7060197.2769725118</v>
      </c>
      <c r="AA99" s="388">
        <f t="shared" si="28"/>
        <v>9553097.2372722104</v>
      </c>
      <c r="AB99" s="388">
        <f t="shared" si="28"/>
        <v>9591615.8493719958</v>
      </c>
      <c r="AC99" s="388">
        <f t="shared" si="28"/>
        <v>6329644.7165338099</v>
      </c>
      <c r="AD99" s="388">
        <f t="shared" si="28"/>
        <v>9901691.6741574127</v>
      </c>
      <c r="AE99" s="388">
        <f t="shared" si="28"/>
        <v>9925572.6385059319</v>
      </c>
    </row>
    <row r="100" spans="2:31" x14ac:dyDescent="0.25">
      <c r="D100" s="340"/>
      <c r="E100" s="290"/>
      <c r="F100" s="191" t="s">
        <v>197</v>
      </c>
      <c r="H100" s="388">
        <f>-H99*0.34</f>
        <v>-4245045.4614623729</v>
      </c>
      <c r="I100" s="388">
        <f>-I99*0.34</f>
        <v>-3752839.7898688642</v>
      </c>
      <c r="J100" s="388">
        <f>-J99*0.34</f>
        <v>-2462885.6647205562</v>
      </c>
      <c r="K100" s="388">
        <f t="shared" ref="K100:AE100" si="29">-K99*0.34</f>
        <v>-2628827.9025375932</v>
      </c>
      <c r="L100" s="388">
        <f t="shared" si="29"/>
        <v>-2643879.0819258383</v>
      </c>
      <c r="M100" s="388">
        <f t="shared" si="29"/>
        <v>-2023602.1837546814</v>
      </c>
      <c r="N100" s="388">
        <f t="shared" si="29"/>
        <v>-2730189.4409996709</v>
      </c>
      <c r="O100" s="388">
        <f t="shared" si="29"/>
        <v>-2792859.8680478991</v>
      </c>
      <c r="P100" s="388">
        <f t="shared" si="29"/>
        <v>-1876019.8684594464</v>
      </c>
      <c r="Q100" s="388">
        <f t="shared" si="29"/>
        <v>-2876259.6846083035</v>
      </c>
      <c r="R100" s="388">
        <f t="shared" si="29"/>
        <v>-2882792.2989258603</v>
      </c>
      <c r="S100" s="388">
        <f t="shared" si="29"/>
        <v>-2214619.3051373758</v>
      </c>
      <c r="T100" s="388">
        <f t="shared" si="29"/>
        <v>-2976451.3186609908</v>
      </c>
      <c r="U100" s="388">
        <f t="shared" si="29"/>
        <v>-3023738.8868632466</v>
      </c>
      <c r="V100" s="388">
        <f t="shared" si="29"/>
        <v>-3145564.5335558881</v>
      </c>
      <c r="W100" s="388">
        <f t="shared" si="29"/>
        <v>-2047509.6421641393</v>
      </c>
      <c r="X100" s="388">
        <f t="shared" si="29"/>
        <v>-3140864.7986343992</v>
      </c>
      <c r="Y100" s="388">
        <f t="shared" si="29"/>
        <v>-3158686.7926913057</v>
      </c>
      <c r="Z100" s="388">
        <f t="shared" si="29"/>
        <v>-2400467.0741706542</v>
      </c>
      <c r="AA100" s="388">
        <f t="shared" si="29"/>
        <v>-3248053.0606725519</v>
      </c>
      <c r="AB100" s="388">
        <f t="shared" si="29"/>
        <v>-3261149.3887864789</v>
      </c>
      <c r="AC100" s="388">
        <f t="shared" si="29"/>
        <v>-2152079.2036214955</v>
      </c>
      <c r="AD100" s="388">
        <f t="shared" si="29"/>
        <v>-3366575.1692135204</v>
      </c>
      <c r="AE100" s="388">
        <f t="shared" si="29"/>
        <v>-3374694.6970920172</v>
      </c>
    </row>
    <row r="101" spans="2:31" x14ac:dyDescent="0.25">
      <c r="D101" s="340"/>
      <c r="E101" s="290"/>
      <c r="F101" s="191" t="s">
        <v>353</v>
      </c>
      <c r="H101" s="388">
        <v>-7611875</v>
      </c>
      <c r="I101" s="388">
        <f>+H101</f>
        <v>-7611875</v>
      </c>
      <c r="J101" s="388">
        <v>0</v>
      </c>
      <c r="K101" s="388">
        <f>+J101</f>
        <v>0</v>
      </c>
      <c r="L101" s="388">
        <f t="shared" ref="L101:AE101" si="30">+K101</f>
        <v>0</v>
      </c>
      <c r="M101" s="388">
        <f t="shared" si="30"/>
        <v>0</v>
      </c>
      <c r="N101" s="388">
        <f t="shared" si="30"/>
        <v>0</v>
      </c>
      <c r="O101" s="388">
        <f t="shared" si="30"/>
        <v>0</v>
      </c>
      <c r="P101" s="388">
        <f t="shared" si="30"/>
        <v>0</v>
      </c>
      <c r="Q101" s="388">
        <f t="shared" si="30"/>
        <v>0</v>
      </c>
      <c r="R101" s="388">
        <f t="shared" si="30"/>
        <v>0</v>
      </c>
      <c r="S101" s="388">
        <f t="shared" si="30"/>
        <v>0</v>
      </c>
      <c r="T101" s="388">
        <f t="shared" si="30"/>
        <v>0</v>
      </c>
      <c r="U101" s="388">
        <f t="shared" si="30"/>
        <v>0</v>
      </c>
      <c r="V101" s="388">
        <f t="shared" si="30"/>
        <v>0</v>
      </c>
      <c r="W101" s="388">
        <f t="shared" si="30"/>
        <v>0</v>
      </c>
      <c r="X101" s="388">
        <f t="shared" si="30"/>
        <v>0</v>
      </c>
      <c r="Y101" s="388">
        <f t="shared" si="30"/>
        <v>0</v>
      </c>
      <c r="Z101" s="388">
        <f t="shared" si="30"/>
        <v>0</v>
      </c>
      <c r="AA101" s="388">
        <f t="shared" si="30"/>
        <v>0</v>
      </c>
      <c r="AB101" s="388">
        <f t="shared" si="30"/>
        <v>0</v>
      </c>
      <c r="AC101" s="388">
        <f t="shared" si="30"/>
        <v>0</v>
      </c>
      <c r="AD101" s="388">
        <f t="shared" si="30"/>
        <v>0</v>
      </c>
      <c r="AE101" s="388">
        <f t="shared" si="30"/>
        <v>0</v>
      </c>
    </row>
    <row r="102" spans="2:31" x14ac:dyDescent="0.25">
      <c r="D102" s="341"/>
      <c r="E102" s="290"/>
      <c r="H102" s="388"/>
      <c r="I102" s="388"/>
      <c r="J102" s="388"/>
      <c r="K102" s="388"/>
      <c r="L102" s="388"/>
      <c r="M102" s="388"/>
      <c r="N102" s="388"/>
      <c r="O102" s="388"/>
      <c r="P102" s="388"/>
      <c r="Q102" s="388"/>
      <c r="R102" s="388"/>
      <c r="S102" s="388"/>
      <c r="T102" s="388"/>
      <c r="U102" s="388"/>
      <c r="V102" s="388"/>
      <c r="W102" s="388"/>
      <c r="X102" s="388"/>
      <c r="Y102" s="388"/>
      <c r="Z102" s="388"/>
      <c r="AA102" s="388"/>
      <c r="AB102" s="388"/>
      <c r="AC102" s="388"/>
      <c r="AD102" s="388"/>
      <c r="AE102" s="388"/>
    </row>
    <row r="103" spans="2:31" x14ac:dyDescent="0.25">
      <c r="D103" s="233"/>
      <c r="E103" s="290"/>
      <c r="F103" s="191" t="s">
        <v>196</v>
      </c>
      <c r="H103" s="388">
        <f>+H97+H100+H101</f>
        <v>6902031.0187681336</v>
      </c>
      <c r="I103" s="388">
        <f t="shared" ref="I103:AE103" si="31">+I97+I100+I101</f>
        <v>5946572.9503807351</v>
      </c>
      <c r="J103" s="388">
        <f t="shared" si="31"/>
        <v>11054419.354504609</v>
      </c>
      <c r="K103" s="388">
        <f t="shared" si="31"/>
        <v>11376542.522031797</v>
      </c>
      <c r="L103" s="388">
        <f t="shared" si="31"/>
        <v>11405759.517314862</v>
      </c>
      <c r="M103" s="388">
        <f t="shared" si="31"/>
        <v>10201692.597335558</v>
      </c>
      <c r="N103" s="388">
        <f t="shared" si="31"/>
        <v>11573303.155517008</v>
      </c>
      <c r="O103" s="388">
        <f t="shared" si="31"/>
        <v>11694957.513904745</v>
      </c>
      <c r="P103" s="388">
        <f t="shared" si="31"/>
        <v>9915209.2794095129</v>
      </c>
      <c r="Q103" s="388">
        <f t="shared" si="31"/>
        <v>11856851.275463177</v>
      </c>
      <c r="R103" s="388">
        <f t="shared" si="31"/>
        <v>11869532.232667847</v>
      </c>
      <c r="S103" s="388">
        <f t="shared" si="31"/>
        <v>10572490.538843142</v>
      </c>
      <c r="T103" s="388">
        <f t="shared" si="31"/>
        <v>12051340.91803604</v>
      </c>
      <c r="U103" s="388">
        <f t="shared" si="31"/>
        <v>12143134.432781596</v>
      </c>
      <c r="V103" s="388">
        <f t="shared" si="31"/>
        <v>12379619.511655547</v>
      </c>
      <c r="W103" s="388">
        <f t="shared" si="31"/>
        <v>10248101.193071565</v>
      </c>
      <c r="X103" s="388">
        <f t="shared" si="31"/>
        <v>12370496.496807951</v>
      </c>
      <c r="Y103" s="388">
        <f t="shared" si="31"/>
        <v>12405092.132330181</v>
      </c>
      <c r="Z103" s="388">
        <f t="shared" si="31"/>
        <v>10933253.855201857</v>
      </c>
      <c r="AA103" s="388">
        <f t="shared" si="31"/>
        <v>12578567.828999659</v>
      </c>
      <c r="AB103" s="388">
        <f t="shared" si="31"/>
        <v>12603990.112985518</v>
      </c>
      <c r="AC103" s="388">
        <f t="shared" si="31"/>
        <v>10451089.165312314</v>
      </c>
      <c r="AD103" s="388">
        <f t="shared" si="31"/>
        <v>12808640.157343892</v>
      </c>
      <c r="AE103" s="388">
        <f t="shared" si="31"/>
        <v>12824401.593813915</v>
      </c>
    </row>
    <row r="104" spans="2:31" x14ac:dyDescent="0.25">
      <c r="D104" s="290"/>
      <c r="E104" s="290"/>
      <c r="H104" s="388"/>
      <c r="I104" s="388"/>
      <c r="J104" s="388"/>
      <c r="K104" s="388"/>
      <c r="L104" s="388"/>
      <c r="M104" s="388"/>
      <c r="N104" s="388"/>
      <c r="O104" s="388"/>
      <c r="P104" s="388"/>
      <c r="Q104" s="388"/>
      <c r="R104" s="388"/>
      <c r="S104" s="388"/>
      <c r="T104" s="388"/>
      <c r="U104" s="388"/>
      <c r="V104" s="388"/>
      <c r="W104" s="388"/>
      <c r="X104" s="388"/>
      <c r="Y104" s="388"/>
      <c r="Z104" s="388"/>
      <c r="AA104" s="388"/>
      <c r="AB104" s="388"/>
      <c r="AC104" s="388"/>
      <c r="AD104" s="388"/>
      <c r="AE104" s="388"/>
    </row>
    <row r="105" spans="2:31" x14ac:dyDescent="0.25">
      <c r="B105" s="389">
        <f>+'Pré valo Sorégies'!T15</f>
        <v>5.3359759999999992E-2</v>
      </c>
      <c r="D105" s="342"/>
      <c r="E105" s="290"/>
      <c r="F105" s="191" t="s">
        <v>144</v>
      </c>
      <c r="H105" s="390">
        <f>1+B105</f>
        <v>1.05335976</v>
      </c>
      <c r="I105" s="390">
        <f>+H105*(1+$B105)</f>
        <v>1.1095667839872576</v>
      </c>
      <c r="J105" s="390">
        <f>+I105*(1+$B105)</f>
        <v>1.1687730012847894</v>
      </c>
      <c r="K105" s="390">
        <f t="shared" ref="K105" si="32">1+E105</f>
        <v>1</v>
      </c>
      <c r="L105" s="390">
        <f t="shared" ref="L105:M105" si="33">+K105*(1+$B105)</f>
        <v>1.05335976</v>
      </c>
      <c r="M105" s="390">
        <f t="shared" si="33"/>
        <v>1.1095667839872576</v>
      </c>
      <c r="N105" s="390">
        <f t="shared" ref="N105" si="34">1+H105</f>
        <v>2.0533597600000002</v>
      </c>
      <c r="O105" s="390">
        <f t="shared" ref="O105:P105" si="35">+N105*(1+$B105)</f>
        <v>2.1629265439872576</v>
      </c>
      <c r="P105" s="390">
        <f t="shared" si="35"/>
        <v>2.2783397852720468</v>
      </c>
      <c r="Q105" s="390">
        <f t="shared" ref="Q105" si="36">1+K105</f>
        <v>2</v>
      </c>
      <c r="R105" s="390">
        <f t="shared" ref="R105:S105" si="37">+Q105*(1+$B105)</f>
        <v>2.10671952</v>
      </c>
      <c r="S105" s="390">
        <f t="shared" si="37"/>
        <v>2.2191335679745152</v>
      </c>
      <c r="T105" s="390">
        <f t="shared" ref="T105" si="38">1+N105</f>
        <v>3.0533597600000002</v>
      </c>
      <c r="U105" s="390">
        <f t="shared" ref="U105:V105" si="39">+T105*(1+$B105)</f>
        <v>3.2162863039872578</v>
      </c>
      <c r="V105" s="390">
        <f t="shared" si="39"/>
        <v>3.3879065692593047</v>
      </c>
      <c r="W105" s="390">
        <f t="shared" ref="W105" si="40">1+Q105</f>
        <v>3</v>
      </c>
      <c r="X105" s="390">
        <f t="shared" ref="X105:Y105" si="41">+W105*(1+$B105)</f>
        <v>3.1600792799999997</v>
      </c>
      <c r="Y105" s="390">
        <f t="shared" si="41"/>
        <v>3.3287003519617726</v>
      </c>
      <c r="Z105" s="390">
        <f t="shared" ref="Z105" si="42">1+T105</f>
        <v>4.0533597600000002</v>
      </c>
      <c r="AA105" s="390">
        <f t="shared" ref="AA105:AB105" si="43">+Z105*(1+$B105)</f>
        <v>4.269646063987258</v>
      </c>
      <c r="AB105" s="390">
        <f t="shared" si="43"/>
        <v>4.4974733532465629</v>
      </c>
      <c r="AC105" s="390">
        <f t="shared" ref="AC105" si="44">1+W105</f>
        <v>4</v>
      </c>
      <c r="AD105" s="390">
        <f t="shared" ref="AD105:AE105" si="45">+AC105*(1+$B105)</f>
        <v>4.2134390399999999</v>
      </c>
      <c r="AE105" s="390">
        <f t="shared" si="45"/>
        <v>4.4382671359490304</v>
      </c>
    </row>
    <row r="106" spans="2:31" x14ac:dyDescent="0.25">
      <c r="D106" s="290"/>
      <c r="E106" s="290"/>
      <c r="H106" s="388"/>
      <c r="I106" s="388"/>
      <c r="J106" s="293"/>
      <c r="K106" s="388"/>
      <c r="L106" s="388"/>
      <c r="M106" s="293"/>
      <c r="N106" s="388"/>
      <c r="O106" s="388"/>
      <c r="P106" s="293"/>
      <c r="Q106" s="388"/>
      <c r="R106" s="388"/>
      <c r="S106" s="293"/>
      <c r="T106" s="388"/>
      <c r="U106" s="388"/>
      <c r="V106" s="293"/>
      <c r="W106" s="388"/>
      <c r="X106" s="388"/>
      <c r="Y106" s="293"/>
      <c r="Z106" s="388"/>
      <c r="AA106" s="388"/>
      <c r="AB106" s="293"/>
      <c r="AC106" s="388"/>
      <c r="AD106" s="388"/>
      <c r="AE106" s="293"/>
    </row>
    <row r="107" spans="2:31" x14ac:dyDescent="0.25">
      <c r="D107" s="290"/>
      <c r="E107" s="290"/>
      <c r="H107" s="388">
        <f>+H103/H105</f>
        <v>6552396.7032575216</v>
      </c>
      <c r="I107" s="388">
        <f t="shared" ref="I107:K107" si="46">+I103/I105</f>
        <v>5359364.6062579192</v>
      </c>
      <c r="J107" s="388">
        <f t="shared" si="46"/>
        <v>9458140.5819204338</v>
      </c>
      <c r="K107" s="388">
        <f t="shared" si="46"/>
        <v>11376542.522031797</v>
      </c>
      <c r="L107" s="388">
        <f t="shared" ref="L107:AE107" si="47">+L103/L105</f>
        <v>10827981.047344036</v>
      </c>
      <c r="M107" s="388">
        <f t="shared" si="47"/>
        <v>9194302.4471907001</v>
      </c>
      <c r="N107" s="388">
        <f t="shared" si="47"/>
        <v>5636276.3997659171</v>
      </c>
      <c r="O107" s="388">
        <f t="shared" si="47"/>
        <v>5407006.329648911</v>
      </c>
      <c r="P107" s="388">
        <f t="shared" si="47"/>
        <v>4351944.930911866</v>
      </c>
      <c r="Q107" s="388">
        <f t="shared" si="47"/>
        <v>5928425.6377315884</v>
      </c>
      <c r="R107" s="388">
        <f t="shared" si="47"/>
        <v>5634130.2769472832</v>
      </c>
      <c r="S107" s="388">
        <f t="shared" si="47"/>
        <v>4764242.5365558518</v>
      </c>
      <c r="T107" s="388">
        <f t="shared" si="47"/>
        <v>3946911.5549083017</v>
      </c>
      <c r="U107" s="388">
        <f t="shared" si="47"/>
        <v>3775514.1442873562</v>
      </c>
      <c r="V107" s="388">
        <f t="shared" si="47"/>
        <v>3654061.6627341327</v>
      </c>
      <c r="W107" s="388">
        <f t="shared" si="47"/>
        <v>3416033.731023855</v>
      </c>
      <c r="X107" s="388">
        <f t="shared" si="47"/>
        <v>3914615.8690069169</v>
      </c>
      <c r="Y107" s="388">
        <f t="shared" si="47"/>
        <v>3726707.3694450236</v>
      </c>
      <c r="Z107" s="388">
        <f t="shared" si="47"/>
        <v>2697331.2270712079</v>
      </c>
      <c r="AA107" s="388">
        <f t="shared" si="47"/>
        <v>2946044.6230180073</v>
      </c>
      <c r="AB107" s="388">
        <f t="shared" si="47"/>
        <v>2802460.2088830951</v>
      </c>
      <c r="AC107" s="388">
        <f t="shared" si="47"/>
        <v>2612772.2913280786</v>
      </c>
      <c r="AD107" s="388">
        <f t="shared" si="47"/>
        <v>3039949.0857102545</v>
      </c>
      <c r="AE107" s="388">
        <f t="shared" si="47"/>
        <v>2889506.4674992091</v>
      </c>
    </row>
    <row r="108" spans="2:31" x14ac:dyDescent="0.25">
      <c r="D108" s="341"/>
      <c r="E108" s="290"/>
    </row>
    <row r="109" spans="2:31" x14ac:dyDescent="0.25">
      <c r="D109" s="290"/>
      <c r="E109" s="290"/>
    </row>
    <row r="110" spans="2:31" x14ac:dyDescent="0.25">
      <c r="D110" s="341"/>
      <c r="E110" s="290"/>
      <c r="F110" s="191" t="s">
        <v>356</v>
      </c>
      <c r="H110" s="388">
        <f>SUM(H107:AE107)</f>
        <v>123912662.25447929</v>
      </c>
    </row>
    <row r="111" spans="2:31" x14ac:dyDescent="0.25">
      <c r="D111" s="341"/>
      <c r="E111" s="290"/>
      <c r="F111" s="191" t="s">
        <v>357</v>
      </c>
      <c r="H111" s="388">
        <v>-103343000</v>
      </c>
    </row>
    <row r="112" spans="2:31" x14ac:dyDescent="0.25">
      <c r="D112" s="290"/>
      <c r="E112" s="290"/>
      <c r="F112" s="191" t="s">
        <v>358</v>
      </c>
      <c r="H112" s="388">
        <f>+H110+H111</f>
        <v>20569662.254479289</v>
      </c>
    </row>
    <row r="113" spans="4:5" x14ac:dyDescent="0.25">
      <c r="D113" s="290"/>
      <c r="E113" s="290"/>
    </row>
    <row r="114" spans="4:5" x14ac:dyDescent="0.25">
      <c r="D114" s="290"/>
      <c r="E114" s="290"/>
    </row>
    <row r="115" spans="4:5" x14ac:dyDescent="0.25">
      <c r="D115" s="342"/>
      <c r="E115" s="290"/>
    </row>
    <row r="116" spans="4:5" x14ac:dyDescent="0.25">
      <c r="D116" s="341"/>
      <c r="E116" s="290"/>
    </row>
    <row r="117" spans="4:5" x14ac:dyDescent="0.25">
      <c r="D117" s="290"/>
      <c r="E117" s="290"/>
    </row>
    <row r="118" spans="4:5" x14ac:dyDescent="0.25">
      <c r="D118" s="290"/>
      <c r="E118" s="290"/>
    </row>
    <row r="119" spans="4:5" x14ac:dyDescent="0.25">
      <c r="D119" s="343"/>
      <c r="E119" s="290"/>
    </row>
    <row r="120" spans="4:5" x14ac:dyDescent="0.25">
      <c r="D120" s="341"/>
      <c r="E120" s="290"/>
    </row>
    <row r="121" spans="4:5" x14ac:dyDescent="0.25">
      <c r="D121" s="341"/>
      <c r="E121" s="290"/>
    </row>
    <row r="122" spans="4:5" x14ac:dyDescent="0.25">
      <c r="D122" s="341"/>
      <c r="E122" s="290"/>
    </row>
    <row r="123" spans="4:5" x14ac:dyDescent="0.25">
      <c r="D123" s="290"/>
      <c r="E123" s="290"/>
    </row>
    <row r="124" spans="4:5" x14ac:dyDescent="0.25">
      <c r="D124" s="290"/>
      <c r="E124" s="290"/>
    </row>
    <row r="125" spans="4:5" x14ac:dyDescent="0.25">
      <c r="D125" s="290"/>
      <c r="E125" s="290"/>
    </row>
    <row r="126" spans="4:5" x14ac:dyDescent="0.25">
      <c r="D126" s="341"/>
      <c r="E126" s="290"/>
    </row>
    <row r="127" spans="4:5" x14ac:dyDescent="0.25">
      <c r="D127" s="341"/>
      <c r="E127" s="290"/>
    </row>
    <row r="128" spans="4:5" x14ac:dyDescent="0.25">
      <c r="D128" s="341"/>
      <c r="E128" s="290"/>
    </row>
    <row r="129" spans="4:5" x14ac:dyDescent="0.25">
      <c r="D129" s="290"/>
      <c r="E129" s="290"/>
    </row>
    <row r="130" spans="4:5" x14ac:dyDescent="0.25">
      <c r="D130" s="290"/>
      <c r="E130" s="290"/>
    </row>
    <row r="131" spans="4:5" x14ac:dyDescent="0.25">
      <c r="D131" s="341"/>
      <c r="E131" s="290"/>
    </row>
    <row r="132" spans="4:5" x14ac:dyDescent="0.25">
      <c r="D132" s="341"/>
      <c r="E132" s="290"/>
    </row>
    <row r="133" spans="4:5" x14ac:dyDescent="0.25">
      <c r="D133" s="341"/>
      <c r="E133" s="341"/>
    </row>
    <row r="134" spans="4:5" x14ac:dyDescent="0.25">
      <c r="D134" s="341"/>
      <c r="E134" s="341"/>
    </row>
    <row r="135" spans="4:5" x14ac:dyDescent="0.25">
      <c r="D135" s="341"/>
      <c r="E135" s="341"/>
    </row>
    <row r="136" spans="4:5" x14ac:dyDescent="0.25">
      <c r="D136" s="341"/>
      <c r="E136" s="341"/>
    </row>
    <row r="137" spans="4:5" x14ac:dyDescent="0.25">
      <c r="D137" s="341"/>
      <c r="E137" s="341"/>
    </row>
    <row r="138" spans="4:5" x14ac:dyDescent="0.25">
      <c r="D138" s="341"/>
      <c r="E138" s="341"/>
    </row>
    <row r="139" spans="4:5" x14ac:dyDescent="0.25">
      <c r="D139" s="341"/>
      <c r="E139" s="341"/>
    </row>
    <row r="140" spans="4:5" x14ac:dyDescent="0.25">
      <c r="D140" s="341"/>
      <c r="E140" s="341"/>
    </row>
    <row r="141" spans="4:5" x14ac:dyDescent="0.25">
      <c r="D141" s="341"/>
      <c r="E141" s="341"/>
    </row>
    <row r="142" spans="4:5" x14ac:dyDescent="0.25">
      <c r="D142" s="341"/>
      <c r="E142" s="341"/>
    </row>
    <row r="143" spans="4:5" x14ac:dyDescent="0.25">
      <c r="D143" s="341"/>
      <c r="E143" s="341"/>
    </row>
    <row r="144" spans="4:5" x14ac:dyDescent="0.25">
      <c r="D144" s="341"/>
      <c r="E144" s="341"/>
    </row>
  </sheetData>
  <mergeCells count="8">
    <mergeCell ref="B63:B67"/>
    <mergeCell ref="B68:B74"/>
    <mergeCell ref="K16:N16"/>
    <mergeCell ref="B37:B46"/>
    <mergeCell ref="E39:E42"/>
    <mergeCell ref="F39:F42"/>
    <mergeCell ref="B47:B52"/>
    <mergeCell ref="B53:B62"/>
  </mergeCells>
  <pageMargins left="0" right="0" top="0.51" bottom="0.21" header="0.17" footer="0.17"/>
  <pageSetup paperSize="8" scale="85" fitToWidth="2" orientation="landscape" r:id="rId1"/>
  <headerFooter alignWithMargins="0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3"/>
  <sheetViews>
    <sheetView topLeftCell="G1" workbookViewId="0">
      <selection activeCell="S30" sqref="S30"/>
    </sheetView>
  </sheetViews>
  <sheetFormatPr baseColWidth="10" defaultRowHeight="12.75" x14ac:dyDescent="0.2"/>
  <cols>
    <col min="1" max="1" width="13.85546875" style="344" hidden="1" customWidth="1"/>
    <col min="2" max="2" width="11.85546875" style="344" hidden="1" customWidth="1"/>
    <col min="3" max="4" width="13.85546875" style="344" hidden="1" customWidth="1"/>
    <col min="5" max="5" width="5" style="344" hidden="1" customWidth="1"/>
    <col min="6" max="6" width="12.85546875" style="344" hidden="1" customWidth="1"/>
    <col min="7" max="7" width="6.85546875" style="379" customWidth="1"/>
    <col min="8" max="11" width="13.85546875" style="354" hidden="1" customWidth="1"/>
    <col min="12" max="12" width="15.7109375" style="354" bestFit="1" customWidth="1"/>
    <col min="13" max="13" width="14.28515625" style="351" customWidth="1"/>
    <col min="14" max="14" width="15.42578125" style="351" bestFit="1" customWidth="1"/>
    <col min="15" max="15" width="15.28515625" style="351" bestFit="1" customWidth="1"/>
    <col min="16" max="18" width="11.7109375" style="350" customWidth="1"/>
    <col min="19" max="19" width="11.7109375" style="351" customWidth="1"/>
    <col min="20" max="20" width="5.85546875" style="351" customWidth="1"/>
    <col min="21" max="256" width="11.42578125" style="351"/>
    <col min="257" max="262" width="0" style="351" hidden="1" customWidth="1"/>
    <col min="263" max="263" width="6.85546875" style="351" customWidth="1"/>
    <col min="264" max="267" width="0" style="351" hidden="1" customWidth="1"/>
    <col min="268" max="268" width="15.7109375" style="351" bestFit="1" customWidth="1"/>
    <col min="269" max="269" width="14.28515625" style="351" customWidth="1"/>
    <col min="270" max="270" width="15.42578125" style="351" bestFit="1" customWidth="1"/>
    <col min="271" max="271" width="15.28515625" style="351" bestFit="1" customWidth="1"/>
    <col min="272" max="275" width="11.7109375" style="351" customWidth="1"/>
    <col min="276" max="276" width="5.85546875" style="351" customWidth="1"/>
    <col min="277" max="512" width="11.42578125" style="351"/>
    <col min="513" max="518" width="0" style="351" hidden="1" customWidth="1"/>
    <col min="519" max="519" width="6.85546875" style="351" customWidth="1"/>
    <col min="520" max="523" width="0" style="351" hidden="1" customWidth="1"/>
    <col min="524" max="524" width="15.7109375" style="351" bestFit="1" customWidth="1"/>
    <col min="525" max="525" width="14.28515625" style="351" customWidth="1"/>
    <col min="526" max="526" width="15.42578125" style="351" bestFit="1" customWidth="1"/>
    <col min="527" max="527" width="15.28515625" style="351" bestFit="1" customWidth="1"/>
    <col min="528" max="531" width="11.7109375" style="351" customWidth="1"/>
    <col min="532" max="532" width="5.85546875" style="351" customWidth="1"/>
    <col min="533" max="768" width="11.42578125" style="351"/>
    <col min="769" max="774" width="0" style="351" hidden="1" customWidth="1"/>
    <col min="775" max="775" width="6.85546875" style="351" customWidth="1"/>
    <col min="776" max="779" width="0" style="351" hidden="1" customWidth="1"/>
    <col min="780" max="780" width="15.7109375" style="351" bestFit="1" customWidth="1"/>
    <col min="781" max="781" width="14.28515625" style="351" customWidth="1"/>
    <col min="782" max="782" width="15.42578125" style="351" bestFit="1" customWidth="1"/>
    <col min="783" max="783" width="15.28515625" style="351" bestFit="1" customWidth="1"/>
    <col min="784" max="787" width="11.7109375" style="351" customWidth="1"/>
    <col min="788" max="788" width="5.85546875" style="351" customWidth="1"/>
    <col min="789" max="1024" width="11.42578125" style="351"/>
    <col min="1025" max="1030" width="0" style="351" hidden="1" customWidth="1"/>
    <col min="1031" max="1031" width="6.85546875" style="351" customWidth="1"/>
    <col min="1032" max="1035" width="0" style="351" hidden="1" customWidth="1"/>
    <col min="1036" max="1036" width="15.7109375" style="351" bestFit="1" customWidth="1"/>
    <col min="1037" max="1037" width="14.28515625" style="351" customWidth="1"/>
    <col min="1038" max="1038" width="15.42578125" style="351" bestFit="1" customWidth="1"/>
    <col min="1039" max="1039" width="15.28515625" style="351" bestFit="1" customWidth="1"/>
    <col min="1040" max="1043" width="11.7109375" style="351" customWidth="1"/>
    <col min="1044" max="1044" width="5.85546875" style="351" customWidth="1"/>
    <col min="1045" max="1280" width="11.42578125" style="351"/>
    <col min="1281" max="1286" width="0" style="351" hidden="1" customWidth="1"/>
    <col min="1287" max="1287" width="6.85546875" style="351" customWidth="1"/>
    <col min="1288" max="1291" width="0" style="351" hidden="1" customWidth="1"/>
    <col min="1292" max="1292" width="15.7109375" style="351" bestFit="1" customWidth="1"/>
    <col min="1293" max="1293" width="14.28515625" style="351" customWidth="1"/>
    <col min="1294" max="1294" width="15.42578125" style="351" bestFit="1" customWidth="1"/>
    <col min="1295" max="1295" width="15.28515625" style="351" bestFit="1" customWidth="1"/>
    <col min="1296" max="1299" width="11.7109375" style="351" customWidth="1"/>
    <col min="1300" max="1300" width="5.85546875" style="351" customWidth="1"/>
    <col min="1301" max="1536" width="11.42578125" style="351"/>
    <col min="1537" max="1542" width="0" style="351" hidden="1" customWidth="1"/>
    <col min="1543" max="1543" width="6.85546875" style="351" customWidth="1"/>
    <col min="1544" max="1547" width="0" style="351" hidden="1" customWidth="1"/>
    <col min="1548" max="1548" width="15.7109375" style="351" bestFit="1" customWidth="1"/>
    <col min="1549" max="1549" width="14.28515625" style="351" customWidth="1"/>
    <col min="1550" max="1550" width="15.42578125" style="351" bestFit="1" customWidth="1"/>
    <col min="1551" max="1551" width="15.28515625" style="351" bestFit="1" customWidth="1"/>
    <col min="1552" max="1555" width="11.7109375" style="351" customWidth="1"/>
    <col min="1556" max="1556" width="5.85546875" style="351" customWidth="1"/>
    <col min="1557" max="1792" width="11.42578125" style="351"/>
    <col min="1793" max="1798" width="0" style="351" hidden="1" customWidth="1"/>
    <col min="1799" max="1799" width="6.85546875" style="351" customWidth="1"/>
    <col min="1800" max="1803" width="0" style="351" hidden="1" customWidth="1"/>
    <col min="1804" max="1804" width="15.7109375" style="351" bestFit="1" customWidth="1"/>
    <col min="1805" max="1805" width="14.28515625" style="351" customWidth="1"/>
    <col min="1806" max="1806" width="15.42578125" style="351" bestFit="1" customWidth="1"/>
    <col min="1807" max="1807" width="15.28515625" style="351" bestFit="1" customWidth="1"/>
    <col min="1808" max="1811" width="11.7109375" style="351" customWidth="1"/>
    <col min="1812" max="1812" width="5.85546875" style="351" customWidth="1"/>
    <col min="1813" max="2048" width="11.42578125" style="351"/>
    <col min="2049" max="2054" width="0" style="351" hidden="1" customWidth="1"/>
    <col min="2055" max="2055" width="6.85546875" style="351" customWidth="1"/>
    <col min="2056" max="2059" width="0" style="351" hidden="1" customWidth="1"/>
    <col min="2060" max="2060" width="15.7109375" style="351" bestFit="1" customWidth="1"/>
    <col min="2061" max="2061" width="14.28515625" style="351" customWidth="1"/>
    <col min="2062" max="2062" width="15.42578125" style="351" bestFit="1" customWidth="1"/>
    <col min="2063" max="2063" width="15.28515625" style="351" bestFit="1" customWidth="1"/>
    <col min="2064" max="2067" width="11.7109375" style="351" customWidth="1"/>
    <col min="2068" max="2068" width="5.85546875" style="351" customWidth="1"/>
    <col min="2069" max="2304" width="11.42578125" style="351"/>
    <col min="2305" max="2310" width="0" style="351" hidden="1" customWidth="1"/>
    <col min="2311" max="2311" width="6.85546875" style="351" customWidth="1"/>
    <col min="2312" max="2315" width="0" style="351" hidden="1" customWidth="1"/>
    <col min="2316" max="2316" width="15.7109375" style="351" bestFit="1" customWidth="1"/>
    <col min="2317" max="2317" width="14.28515625" style="351" customWidth="1"/>
    <col min="2318" max="2318" width="15.42578125" style="351" bestFit="1" customWidth="1"/>
    <col min="2319" max="2319" width="15.28515625" style="351" bestFit="1" customWidth="1"/>
    <col min="2320" max="2323" width="11.7109375" style="351" customWidth="1"/>
    <col min="2324" max="2324" width="5.85546875" style="351" customWidth="1"/>
    <col min="2325" max="2560" width="11.42578125" style="351"/>
    <col min="2561" max="2566" width="0" style="351" hidden="1" customWidth="1"/>
    <col min="2567" max="2567" width="6.85546875" style="351" customWidth="1"/>
    <col min="2568" max="2571" width="0" style="351" hidden="1" customWidth="1"/>
    <col min="2572" max="2572" width="15.7109375" style="351" bestFit="1" customWidth="1"/>
    <col min="2573" max="2573" width="14.28515625" style="351" customWidth="1"/>
    <col min="2574" max="2574" width="15.42578125" style="351" bestFit="1" customWidth="1"/>
    <col min="2575" max="2575" width="15.28515625" style="351" bestFit="1" customWidth="1"/>
    <col min="2576" max="2579" width="11.7109375" style="351" customWidth="1"/>
    <col min="2580" max="2580" width="5.85546875" style="351" customWidth="1"/>
    <col min="2581" max="2816" width="11.42578125" style="351"/>
    <col min="2817" max="2822" width="0" style="351" hidden="1" customWidth="1"/>
    <col min="2823" max="2823" width="6.85546875" style="351" customWidth="1"/>
    <col min="2824" max="2827" width="0" style="351" hidden="1" customWidth="1"/>
    <col min="2828" max="2828" width="15.7109375" style="351" bestFit="1" customWidth="1"/>
    <col min="2829" max="2829" width="14.28515625" style="351" customWidth="1"/>
    <col min="2830" max="2830" width="15.42578125" style="351" bestFit="1" customWidth="1"/>
    <col min="2831" max="2831" width="15.28515625" style="351" bestFit="1" customWidth="1"/>
    <col min="2832" max="2835" width="11.7109375" style="351" customWidth="1"/>
    <col min="2836" max="2836" width="5.85546875" style="351" customWidth="1"/>
    <col min="2837" max="3072" width="11.42578125" style="351"/>
    <col min="3073" max="3078" width="0" style="351" hidden="1" customWidth="1"/>
    <col min="3079" max="3079" width="6.85546875" style="351" customWidth="1"/>
    <col min="3080" max="3083" width="0" style="351" hidden="1" customWidth="1"/>
    <col min="3084" max="3084" width="15.7109375" style="351" bestFit="1" customWidth="1"/>
    <col min="3085" max="3085" width="14.28515625" style="351" customWidth="1"/>
    <col min="3086" max="3086" width="15.42578125" style="351" bestFit="1" customWidth="1"/>
    <col min="3087" max="3087" width="15.28515625" style="351" bestFit="1" customWidth="1"/>
    <col min="3088" max="3091" width="11.7109375" style="351" customWidth="1"/>
    <col min="3092" max="3092" width="5.85546875" style="351" customWidth="1"/>
    <col min="3093" max="3328" width="11.42578125" style="351"/>
    <col min="3329" max="3334" width="0" style="351" hidden="1" customWidth="1"/>
    <col min="3335" max="3335" width="6.85546875" style="351" customWidth="1"/>
    <col min="3336" max="3339" width="0" style="351" hidden="1" customWidth="1"/>
    <col min="3340" max="3340" width="15.7109375" style="351" bestFit="1" customWidth="1"/>
    <col min="3341" max="3341" width="14.28515625" style="351" customWidth="1"/>
    <col min="3342" max="3342" width="15.42578125" style="351" bestFit="1" customWidth="1"/>
    <col min="3343" max="3343" width="15.28515625" style="351" bestFit="1" customWidth="1"/>
    <col min="3344" max="3347" width="11.7109375" style="351" customWidth="1"/>
    <col min="3348" max="3348" width="5.85546875" style="351" customWidth="1"/>
    <col min="3349" max="3584" width="11.42578125" style="351"/>
    <col min="3585" max="3590" width="0" style="351" hidden="1" customWidth="1"/>
    <col min="3591" max="3591" width="6.85546875" style="351" customWidth="1"/>
    <col min="3592" max="3595" width="0" style="351" hidden="1" customWidth="1"/>
    <col min="3596" max="3596" width="15.7109375" style="351" bestFit="1" customWidth="1"/>
    <col min="3597" max="3597" width="14.28515625" style="351" customWidth="1"/>
    <col min="3598" max="3598" width="15.42578125" style="351" bestFit="1" customWidth="1"/>
    <col min="3599" max="3599" width="15.28515625" style="351" bestFit="1" customWidth="1"/>
    <col min="3600" max="3603" width="11.7109375" style="351" customWidth="1"/>
    <col min="3604" max="3604" width="5.85546875" style="351" customWidth="1"/>
    <col min="3605" max="3840" width="11.42578125" style="351"/>
    <col min="3841" max="3846" width="0" style="351" hidden="1" customWidth="1"/>
    <col min="3847" max="3847" width="6.85546875" style="351" customWidth="1"/>
    <col min="3848" max="3851" width="0" style="351" hidden="1" customWidth="1"/>
    <col min="3852" max="3852" width="15.7109375" style="351" bestFit="1" customWidth="1"/>
    <col min="3853" max="3853" width="14.28515625" style="351" customWidth="1"/>
    <col min="3854" max="3854" width="15.42578125" style="351" bestFit="1" customWidth="1"/>
    <col min="3855" max="3855" width="15.28515625" style="351" bestFit="1" customWidth="1"/>
    <col min="3856" max="3859" width="11.7109375" style="351" customWidth="1"/>
    <col min="3860" max="3860" width="5.85546875" style="351" customWidth="1"/>
    <col min="3861" max="4096" width="11.42578125" style="351"/>
    <col min="4097" max="4102" width="0" style="351" hidden="1" customWidth="1"/>
    <col min="4103" max="4103" width="6.85546875" style="351" customWidth="1"/>
    <col min="4104" max="4107" width="0" style="351" hidden="1" customWidth="1"/>
    <col min="4108" max="4108" width="15.7109375" style="351" bestFit="1" customWidth="1"/>
    <col min="4109" max="4109" width="14.28515625" style="351" customWidth="1"/>
    <col min="4110" max="4110" width="15.42578125" style="351" bestFit="1" customWidth="1"/>
    <col min="4111" max="4111" width="15.28515625" style="351" bestFit="1" customWidth="1"/>
    <col min="4112" max="4115" width="11.7109375" style="351" customWidth="1"/>
    <col min="4116" max="4116" width="5.85546875" style="351" customWidth="1"/>
    <col min="4117" max="4352" width="11.42578125" style="351"/>
    <col min="4353" max="4358" width="0" style="351" hidden="1" customWidth="1"/>
    <col min="4359" max="4359" width="6.85546875" style="351" customWidth="1"/>
    <col min="4360" max="4363" width="0" style="351" hidden="1" customWidth="1"/>
    <col min="4364" max="4364" width="15.7109375" style="351" bestFit="1" customWidth="1"/>
    <col min="4365" max="4365" width="14.28515625" style="351" customWidth="1"/>
    <col min="4366" max="4366" width="15.42578125" style="351" bestFit="1" customWidth="1"/>
    <col min="4367" max="4367" width="15.28515625" style="351" bestFit="1" customWidth="1"/>
    <col min="4368" max="4371" width="11.7109375" style="351" customWidth="1"/>
    <col min="4372" max="4372" width="5.85546875" style="351" customWidth="1"/>
    <col min="4373" max="4608" width="11.42578125" style="351"/>
    <col min="4609" max="4614" width="0" style="351" hidden="1" customWidth="1"/>
    <col min="4615" max="4615" width="6.85546875" style="351" customWidth="1"/>
    <col min="4616" max="4619" width="0" style="351" hidden="1" customWidth="1"/>
    <col min="4620" max="4620" width="15.7109375" style="351" bestFit="1" customWidth="1"/>
    <col min="4621" max="4621" width="14.28515625" style="351" customWidth="1"/>
    <col min="4622" max="4622" width="15.42578125" style="351" bestFit="1" customWidth="1"/>
    <col min="4623" max="4623" width="15.28515625" style="351" bestFit="1" customWidth="1"/>
    <col min="4624" max="4627" width="11.7109375" style="351" customWidth="1"/>
    <col min="4628" max="4628" width="5.85546875" style="351" customWidth="1"/>
    <col min="4629" max="4864" width="11.42578125" style="351"/>
    <col min="4865" max="4870" width="0" style="351" hidden="1" customWidth="1"/>
    <col min="4871" max="4871" width="6.85546875" style="351" customWidth="1"/>
    <col min="4872" max="4875" width="0" style="351" hidden="1" customWidth="1"/>
    <col min="4876" max="4876" width="15.7109375" style="351" bestFit="1" customWidth="1"/>
    <col min="4877" max="4877" width="14.28515625" style="351" customWidth="1"/>
    <col min="4878" max="4878" width="15.42578125" style="351" bestFit="1" customWidth="1"/>
    <col min="4879" max="4879" width="15.28515625" style="351" bestFit="1" customWidth="1"/>
    <col min="4880" max="4883" width="11.7109375" style="351" customWidth="1"/>
    <col min="4884" max="4884" width="5.85546875" style="351" customWidth="1"/>
    <col min="4885" max="5120" width="11.42578125" style="351"/>
    <col min="5121" max="5126" width="0" style="351" hidden="1" customWidth="1"/>
    <col min="5127" max="5127" width="6.85546875" style="351" customWidth="1"/>
    <col min="5128" max="5131" width="0" style="351" hidden="1" customWidth="1"/>
    <col min="5132" max="5132" width="15.7109375" style="351" bestFit="1" customWidth="1"/>
    <col min="5133" max="5133" width="14.28515625" style="351" customWidth="1"/>
    <col min="5134" max="5134" width="15.42578125" style="351" bestFit="1" customWidth="1"/>
    <col min="5135" max="5135" width="15.28515625" style="351" bestFit="1" customWidth="1"/>
    <col min="5136" max="5139" width="11.7109375" style="351" customWidth="1"/>
    <col min="5140" max="5140" width="5.85546875" style="351" customWidth="1"/>
    <col min="5141" max="5376" width="11.42578125" style="351"/>
    <col min="5377" max="5382" width="0" style="351" hidden="1" customWidth="1"/>
    <col min="5383" max="5383" width="6.85546875" style="351" customWidth="1"/>
    <col min="5384" max="5387" width="0" style="351" hidden="1" customWidth="1"/>
    <col min="5388" max="5388" width="15.7109375" style="351" bestFit="1" customWidth="1"/>
    <col min="5389" max="5389" width="14.28515625" style="351" customWidth="1"/>
    <col min="5390" max="5390" width="15.42578125" style="351" bestFit="1" customWidth="1"/>
    <col min="5391" max="5391" width="15.28515625" style="351" bestFit="1" customWidth="1"/>
    <col min="5392" max="5395" width="11.7109375" style="351" customWidth="1"/>
    <col min="5396" max="5396" width="5.85546875" style="351" customWidth="1"/>
    <col min="5397" max="5632" width="11.42578125" style="351"/>
    <col min="5633" max="5638" width="0" style="351" hidden="1" customWidth="1"/>
    <col min="5639" max="5639" width="6.85546875" style="351" customWidth="1"/>
    <col min="5640" max="5643" width="0" style="351" hidden="1" customWidth="1"/>
    <col min="5644" max="5644" width="15.7109375" style="351" bestFit="1" customWidth="1"/>
    <col min="5645" max="5645" width="14.28515625" style="351" customWidth="1"/>
    <col min="5646" max="5646" width="15.42578125" style="351" bestFit="1" customWidth="1"/>
    <col min="5647" max="5647" width="15.28515625" style="351" bestFit="1" customWidth="1"/>
    <col min="5648" max="5651" width="11.7109375" style="351" customWidth="1"/>
    <col min="5652" max="5652" width="5.85546875" style="351" customWidth="1"/>
    <col min="5653" max="5888" width="11.42578125" style="351"/>
    <col min="5889" max="5894" width="0" style="351" hidden="1" customWidth="1"/>
    <col min="5895" max="5895" width="6.85546875" style="351" customWidth="1"/>
    <col min="5896" max="5899" width="0" style="351" hidden="1" customWidth="1"/>
    <col min="5900" max="5900" width="15.7109375" style="351" bestFit="1" customWidth="1"/>
    <col min="5901" max="5901" width="14.28515625" style="351" customWidth="1"/>
    <col min="5902" max="5902" width="15.42578125" style="351" bestFit="1" customWidth="1"/>
    <col min="5903" max="5903" width="15.28515625" style="351" bestFit="1" customWidth="1"/>
    <col min="5904" max="5907" width="11.7109375" style="351" customWidth="1"/>
    <col min="5908" max="5908" width="5.85546875" style="351" customWidth="1"/>
    <col min="5909" max="6144" width="11.42578125" style="351"/>
    <col min="6145" max="6150" width="0" style="351" hidden="1" customWidth="1"/>
    <col min="6151" max="6151" width="6.85546875" style="351" customWidth="1"/>
    <col min="6152" max="6155" width="0" style="351" hidden="1" customWidth="1"/>
    <col min="6156" max="6156" width="15.7109375" style="351" bestFit="1" customWidth="1"/>
    <col min="6157" max="6157" width="14.28515625" style="351" customWidth="1"/>
    <col min="6158" max="6158" width="15.42578125" style="351" bestFit="1" customWidth="1"/>
    <col min="6159" max="6159" width="15.28515625" style="351" bestFit="1" customWidth="1"/>
    <col min="6160" max="6163" width="11.7109375" style="351" customWidth="1"/>
    <col min="6164" max="6164" width="5.85546875" style="351" customWidth="1"/>
    <col min="6165" max="6400" width="11.42578125" style="351"/>
    <col min="6401" max="6406" width="0" style="351" hidden="1" customWidth="1"/>
    <col min="6407" max="6407" width="6.85546875" style="351" customWidth="1"/>
    <col min="6408" max="6411" width="0" style="351" hidden="1" customWidth="1"/>
    <col min="6412" max="6412" width="15.7109375" style="351" bestFit="1" customWidth="1"/>
    <col min="6413" max="6413" width="14.28515625" style="351" customWidth="1"/>
    <col min="6414" max="6414" width="15.42578125" style="351" bestFit="1" customWidth="1"/>
    <col min="6415" max="6415" width="15.28515625" style="351" bestFit="1" customWidth="1"/>
    <col min="6416" max="6419" width="11.7109375" style="351" customWidth="1"/>
    <col min="6420" max="6420" width="5.85546875" style="351" customWidth="1"/>
    <col min="6421" max="6656" width="11.42578125" style="351"/>
    <col min="6657" max="6662" width="0" style="351" hidden="1" customWidth="1"/>
    <col min="6663" max="6663" width="6.85546875" style="351" customWidth="1"/>
    <col min="6664" max="6667" width="0" style="351" hidden="1" customWidth="1"/>
    <col min="6668" max="6668" width="15.7109375" style="351" bestFit="1" customWidth="1"/>
    <col min="6669" max="6669" width="14.28515625" style="351" customWidth="1"/>
    <col min="6670" max="6670" width="15.42578125" style="351" bestFit="1" customWidth="1"/>
    <col min="6671" max="6671" width="15.28515625" style="351" bestFit="1" customWidth="1"/>
    <col min="6672" max="6675" width="11.7109375" style="351" customWidth="1"/>
    <col min="6676" max="6676" width="5.85546875" style="351" customWidth="1"/>
    <col min="6677" max="6912" width="11.42578125" style="351"/>
    <col min="6913" max="6918" width="0" style="351" hidden="1" customWidth="1"/>
    <col min="6919" max="6919" width="6.85546875" style="351" customWidth="1"/>
    <col min="6920" max="6923" width="0" style="351" hidden="1" customWidth="1"/>
    <col min="6924" max="6924" width="15.7109375" style="351" bestFit="1" customWidth="1"/>
    <col min="6925" max="6925" width="14.28515625" style="351" customWidth="1"/>
    <col min="6926" max="6926" width="15.42578125" style="351" bestFit="1" customWidth="1"/>
    <col min="6927" max="6927" width="15.28515625" style="351" bestFit="1" customWidth="1"/>
    <col min="6928" max="6931" width="11.7109375" style="351" customWidth="1"/>
    <col min="6932" max="6932" width="5.85546875" style="351" customWidth="1"/>
    <col min="6933" max="7168" width="11.42578125" style="351"/>
    <col min="7169" max="7174" width="0" style="351" hidden="1" customWidth="1"/>
    <col min="7175" max="7175" width="6.85546875" style="351" customWidth="1"/>
    <col min="7176" max="7179" width="0" style="351" hidden="1" customWidth="1"/>
    <col min="7180" max="7180" width="15.7109375" style="351" bestFit="1" customWidth="1"/>
    <col min="7181" max="7181" width="14.28515625" style="351" customWidth="1"/>
    <col min="7182" max="7182" width="15.42578125" style="351" bestFit="1" customWidth="1"/>
    <col min="7183" max="7183" width="15.28515625" style="351" bestFit="1" customWidth="1"/>
    <col min="7184" max="7187" width="11.7109375" style="351" customWidth="1"/>
    <col min="7188" max="7188" width="5.85546875" style="351" customWidth="1"/>
    <col min="7189" max="7424" width="11.42578125" style="351"/>
    <col min="7425" max="7430" width="0" style="351" hidden="1" customWidth="1"/>
    <col min="7431" max="7431" width="6.85546875" style="351" customWidth="1"/>
    <col min="7432" max="7435" width="0" style="351" hidden="1" customWidth="1"/>
    <col min="7436" max="7436" width="15.7109375" style="351" bestFit="1" customWidth="1"/>
    <col min="7437" max="7437" width="14.28515625" style="351" customWidth="1"/>
    <col min="7438" max="7438" width="15.42578125" style="351" bestFit="1" customWidth="1"/>
    <col min="7439" max="7439" width="15.28515625" style="351" bestFit="1" customWidth="1"/>
    <col min="7440" max="7443" width="11.7109375" style="351" customWidth="1"/>
    <col min="7444" max="7444" width="5.85546875" style="351" customWidth="1"/>
    <col min="7445" max="7680" width="11.42578125" style="351"/>
    <col min="7681" max="7686" width="0" style="351" hidden="1" customWidth="1"/>
    <col min="7687" max="7687" width="6.85546875" style="351" customWidth="1"/>
    <col min="7688" max="7691" width="0" style="351" hidden="1" customWidth="1"/>
    <col min="7692" max="7692" width="15.7109375" style="351" bestFit="1" customWidth="1"/>
    <col min="7693" max="7693" width="14.28515625" style="351" customWidth="1"/>
    <col min="7694" max="7694" width="15.42578125" style="351" bestFit="1" customWidth="1"/>
    <col min="7695" max="7695" width="15.28515625" style="351" bestFit="1" customWidth="1"/>
    <col min="7696" max="7699" width="11.7109375" style="351" customWidth="1"/>
    <col min="7700" max="7700" width="5.85546875" style="351" customWidth="1"/>
    <col min="7701" max="7936" width="11.42578125" style="351"/>
    <col min="7937" max="7942" width="0" style="351" hidden="1" customWidth="1"/>
    <col min="7943" max="7943" width="6.85546875" style="351" customWidth="1"/>
    <col min="7944" max="7947" width="0" style="351" hidden="1" customWidth="1"/>
    <col min="7948" max="7948" width="15.7109375" style="351" bestFit="1" customWidth="1"/>
    <col min="7949" max="7949" width="14.28515625" style="351" customWidth="1"/>
    <col min="7950" max="7950" width="15.42578125" style="351" bestFit="1" customWidth="1"/>
    <col min="7951" max="7951" width="15.28515625" style="351" bestFit="1" customWidth="1"/>
    <col min="7952" max="7955" width="11.7109375" style="351" customWidth="1"/>
    <col min="7956" max="7956" width="5.85546875" style="351" customWidth="1"/>
    <col min="7957" max="8192" width="11.42578125" style="351"/>
    <col min="8193" max="8198" width="0" style="351" hidden="1" customWidth="1"/>
    <col min="8199" max="8199" width="6.85546875" style="351" customWidth="1"/>
    <col min="8200" max="8203" width="0" style="351" hidden="1" customWidth="1"/>
    <col min="8204" max="8204" width="15.7109375" style="351" bestFit="1" customWidth="1"/>
    <col min="8205" max="8205" width="14.28515625" style="351" customWidth="1"/>
    <col min="8206" max="8206" width="15.42578125" style="351" bestFit="1" customWidth="1"/>
    <col min="8207" max="8207" width="15.28515625" style="351" bestFit="1" customWidth="1"/>
    <col min="8208" max="8211" width="11.7109375" style="351" customWidth="1"/>
    <col min="8212" max="8212" width="5.85546875" style="351" customWidth="1"/>
    <col min="8213" max="8448" width="11.42578125" style="351"/>
    <col min="8449" max="8454" width="0" style="351" hidden="1" customWidth="1"/>
    <col min="8455" max="8455" width="6.85546875" style="351" customWidth="1"/>
    <col min="8456" max="8459" width="0" style="351" hidden="1" customWidth="1"/>
    <col min="8460" max="8460" width="15.7109375" style="351" bestFit="1" customWidth="1"/>
    <col min="8461" max="8461" width="14.28515625" style="351" customWidth="1"/>
    <col min="8462" max="8462" width="15.42578125" style="351" bestFit="1" customWidth="1"/>
    <col min="8463" max="8463" width="15.28515625" style="351" bestFit="1" customWidth="1"/>
    <col min="8464" max="8467" width="11.7109375" style="351" customWidth="1"/>
    <col min="8468" max="8468" width="5.85546875" style="351" customWidth="1"/>
    <col min="8469" max="8704" width="11.42578125" style="351"/>
    <col min="8705" max="8710" width="0" style="351" hidden="1" customWidth="1"/>
    <col min="8711" max="8711" width="6.85546875" style="351" customWidth="1"/>
    <col min="8712" max="8715" width="0" style="351" hidden="1" customWidth="1"/>
    <col min="8716" max="8716" width="15.7109375" style="351" bestFit="1" customWidth="1"/>
    <col min="8717" max="8717" width="14.28515625" style="351" customWidth="1"/>
    <col min="8718" max="8718" width="15.42578125" style="351" bestFit="1" customWidth="1"/>
    <col min="8719" max="8719" width="15.28515625" style="351" bestFit="1" customWidth="1"/>
    <col min="8720" max="8723" width="11.7109375" style="351" customWidth="1"/>
    <col min="8724" max="8724" width="5.85546875" style="351" customWidth="1"/>
    <col min="8725" max="8960" width="11.42578125" style="351"/>
    <col min="8961" max="8966" width="0" style="351" hidden="1" customWidth="1"/>
    <col min="8967" max="8967" width="6.85546875" style="351" customWidth="1"/>
    <col min="8968" max="8971" width="0" style="351" hidden="1" customWidth="1"/>
    <col min="8972" max="8972" width="15.7109375" style="351" bestFit="1" customWidth="1"/>
    <col min="8973" max="8973" width="14.28515625" style="351" customWidth="1"/>
    <col min="8974" max="8974" width="15.42578125" style="351" bestFit="1" customWidth="1"/>
    <col min="8975" max="8975" width="15.28515625" style="351" bestFit="1" customWidth="1"/>
    <col min="8976" max="8979" width="11.7109375" style="351" customWidth="1"/>
    <col min="8980" max="8980" width="5.85546875" style="351" customWidth="1"/>
    <col min="8981" max="9216" width="11.42578125" style="351"/>
    <col min="9217" max="9222" width="0" style="351" hidden="1" customWidth="1"/>
    <col min="9223" max="9223" width="6.85546875" style="351" customWidth="1"/>
    <col min="9224" max="9227" width="0" style="351" hidden="1" customWidth="1"/>
    <col min="9228" max="9228" width="15.7109375" style="351" bestFit="1" customWidth="1"/>
    <col min="9229" max="9229" width="14.28515625" style="351" customWidth="1"/>
    <col min="9230" max="9230" width="15.42578125" style="351" bestFit="1" customWidth="1"/>
    <col min="9231" max="9231" width="15.28515625" style="351" bestFit="1" customWidth="1"/>
    <col min="9232" max="9235" width="11.7109375" style="351" customWidth="1"/>
    <col min="9236" max="9236" width="5.85546875" style="351" customWidth="1"/>
    <col min="9237" max="9472" width="11.42578125" style="351"/>
    <col min="9473" max="9478" width="0" style="351" hidden="1" customWidth="1"/>
    <col min="9479" max="9479" width="6.85546875" style="351" customWidth="1"/>
    <col min="9480" max="9483" width="0" style="351" hidden="1" customWidth="1"/>
    <col min="9484" max="9484" width="15.7109375" style="351" bestFit="1" customWidth="1"/>
    <col min="9485" max="9485" width="14.28515625" style="351" customWidth="1"/>
    <col min="9486" max="9486" width="15.42578125" style="351" bestFit="1" customWidth="1"/>
    <col min="9487" max="9487" width="15.28515625" style="351" bestFit="1" customWidth="1"/>
    <col min="9488" max="9491" width="11.7109375" style="351" customWidth="1"/>
    <col min="9492" max="9492" width="5.85546875" style="351" customWidth="1"/>
    <col min="9493" max="9728" width="11.42578125" style="351"/>
    <col min="9729" max="9734" width="0" style="351" hidden="1" customWidth="1"/>
    <col min="9735" max="9735" width="6.85546875" style="351" customWidth="1"/>
    <col min="9736" max="9739" width="0" style="351" hidden="1" customWidth="1"/>
    <col min="9740" max="9740" width="15.7109375" style="351" bestFit="1" customWidth="1"/>
    <col min="9741" max="9741" width="14.28515625" style="351" customWidth="1"/>
    <col min="9742" max="9742" width="15.42578125" style="351" bestFit="1" customWidth="1"/>
    <col min="9743" max="9743" width="15.28515625" style="351" bestFit="1" customWidth="1"/>
    <col min="9744" max="9747" width="11.7109375" style="351" customWidth="1"/>
    <col min="9748" max="9748" width="5.85546875" style="351" customWidth="1"/>
    <col min="9749" max="9984" width="11.42578125" style="351"/>
    <col min="9985" max="9990" width="0" style="351" hidden="1" customWidth="1"/>
    <col min="9991" max="9991" width="6.85546875" style="351" customWidth="1"/>
    <col min="9992" max="9995" width="0" style="351" hidden="1" customWidth="1"/>
    <col min="9996" max="9996" width="15.7109375" style="351" bestFit="1" customWidth="1"/>
    <col min="9997" max="9997" width="14.28515625" style="351" customWidth="1"/>
    <col min="9998" max="9998" width="15.42578125" style="351" bestFit="1" customWidth="1"/>
    <col min="9999" max="9999" width="15.28515625" style="351" bestFit="1" customWidth="1"/>
    <col min="10000" max="10003" width="11.7109375" style="351" customWidth="1"/>
    <col min="10004" max="10004" width="5.85546875" style="351" customWidth="1"/>
    <col min="10005" max="10240" width="11.42578125" style="351"/>
    <col min="10241" max="10246" width="0" style="351" hidden="1" customWidth="1"/>
    <col min="10247" max="10247" width="6.85546875" style="351" customWidth="1"/>
    <col min="10248" max="10251" width="0" style="351" hidden="1" customWidth="1"/>
    <col min="10252" max="10252" width="15.7109375" style="351" bestFit="1" customWidth="1"/>
    <col min="10253" max="10253" width="14.28515625" style="351" customWidth="1"/>
    <col min="10254" max="10254" width="15.42578125" style="351" bestFit="1" customWidth="1"/>
    <col min="10255" max="10255" width="15.28515625" style="351" bestFit="1" customWidth="1"/>
    <col min="10256" max="10259" width="11.7109375" style="351" customWidth="1"/>
    <col min="10260" max="10260" width="5.85546875" style="351" customWidth="1"/>
    <col min="10261" max="10496" width="11.42578125" style="351"/>
    <col min="10497" max="10502" width="0" style="351" hidden="1" customWidth="1"/>
    <col min="10503" max="10503" width="6.85546875" style="351" customWidth="1"/>
    <col min="10504" max="10507" width="0" style="351" hidden="1" customWidth="1"/>
    <col min="10508" max="10508" width="15.7109375" style="351" bestFit="1" customWidth="1"/>
    <col min="10509" max="10509" width="14.28515625" style="351" customWidth="1"/>
    <col min="10510" max="10510" width="15.42578125" style="351" bestFit="1" customWidth="1"/>
    <col min="10511" max="10511" width="15.28515625" style="351" bestFit="1" customWidth="1"/>
    <col min="10512" max="10515" width="11.7109375" style="351" customWidth="1"/>
    <col min="10516" max="10516" width="5.85546875" style="351" customWidth="1"/>
    <col min="10517" max="10752" width="11.42578125" style="351"/>
    <col min="10753" max="10758" width="0" style="351" hidden="1" customWidth="1"/>
    <col min="10759" max="10759" width="6.85546875" style="351" customWidth="1"/>
    <col min="10760" max="10763" width="0" style="351" hidden="1" customWidth="1"/>
    <col min="10764" max="10764" width="15.7109375" style="351" bestFit="1" customWidth="1"/>
    <col min="10765" max="10765" width="14.28515625" style="351" customWidth="1"/>
    <col min="10766" max="10766" width="15.42578125" style="351" bestFit="1" customWidth="1"/>
    <col min="10767" max="10767" width="15.28515625" style="351" bestFit="1" customWidth="1"/>
    <col min="10768" max="10771" width="11.7109375" style="351" customWidth="1"/>
    <col min="10772" max="10772" width="5.85546875" style="351" customWidth="1"/>
    <col min="10773" max="11008" width="11.42578125" style="351"/>
    <col min="11009" max="11014" width="0" style="351" hidden="1" customWidth="1"/>
    <col min="11015" max="11015" width="6.85546875" style="351" customWidth="1"/>
    <col min="11016" max="11019" width="0" style="351" hidden="1" customWidth="1"/>
    <col min="11020" max="11020" width="15.7109375" style="351" bestFit="1" customWidth="1"/>
    <col min="11021" max="11021" width="14.28515625" style="351" customWidth="1"/>
    <col min="11022" max="11022" width="15.42578125" style="351" bestFit="1" customWidth="1"/>
    <col min="11023" max="11023" width="15.28515625" style="351" bestFit="1" customWidth="1"/>
    <col min="11024" max="11027" width="11.7109375" style="351" customWidth="1"/>
    <col min="11028" max="11028" width="5.85546875" style="351" customWidth="1"/>
    <col min="11029" max="11264" width="11.42578125" style="351"/>
    <col min="11265" max="11270" width="0" style="351" hidden="1" customWidth="1"/>
    <col min="11271" max="11271" width="6.85546875" style="351" customWidth="1"/>
    <col min="11272" max="11275" width="0" style="351" hidden="1" customWidth="1"/>
    <col min="11276" max="11276" width="15.7109375" style="351" bestFit="1" customWidth="1"/>
    <col min="11277" max="11277" width="14.28515625" style="351" customWidth="1"/>
    <col min="11278" max="11278" width="15.42578125" style="351" bestFit="1" customWidth="1"/>
    <col min="11279" max="11279" width="15.28515625" style="351" bestFit="1" customWidth="1"/>
    <col min="11280" max="11283" width="11.7109375" style="351" customWidth="1"/>
    <col min="11284" max="11284" width="5.85546875" style="351" customWidth="1"/>
    <col min="11285" max="11520" width="11.42578125" style="351"/>
    <col min="11521" max="11526" width="0" style="351" hidden="1" customWidth="1"/>
    <col min="11527" max="11527" width="6.85546875" style="351" customWidth="1"/>
    <col min="11528" max="11531" width="0" style="351" hidden="1" customWidth="1"/>
    <col min="11532" max="11532" width="15.7109375" style="351" bestFit="1" customWidth="1"/>
    <col min="11533" max="11533" width="14.28515625" style="351" customWidth="1"/>
    <col min="11534" max="11534" width="15.42578125" style="351" bestFit="1" customWidth="1"/>
    <col min="11535" max="11535" width="15.28515625" style="351" bestFit="1" customWidth="1"/>
    <col min="11536" max="11539" width="11.7109375" style="351" customWidth="1"/>
    <col min="11540" max="11540" width="5.85546875" style="351" customWidth="1"/>
    <col min="11541" max="11776" width="11.42578125" style="351"/>
    <col min="11777" max="11782" width="0" style="351" hidden="1" customWidth="1"/>
    <col min="11783" max="11783" width="6.85546875" style="351" customWidth="1"/>
    <col min="11784" max="11787" width="0" style="351" hidden="1" customWidth="1"/>
    <col min="11788" max="11788" width="15.7109375" style="351" bestFit="1" customWidth="1"/>
    <col min="11789" max="11789" width="14.28515625" style="351" customWidth="1"/>
    <col min="11790" max="11790" width="15.42578125" style="351" bestFit="1" customWidth="1"/>
    <col min="11791" max="11791" width="15.28515625" style="351" bestFit="1" customWidth="1"/>
    <col min="11792" max="11795" width="11.7109375" style="351" customWidth="1"/>
    <col min="11796" max="11796" width="5.85546875" style="351" customWidth="1"/>
    <col min="11797" max="12032" width="11.42578125" style="351"/>
    <col min="12033" max="12038" width="0" style="351" hidden="1" customWidth="1"/>
    <col min="12039" max="12039" width="6.85546875" style="351" customWidth="1"/>
    <col min="12040" max="12043" width="0" style="351" hidden="1" customWidth="1"/>
    <col min="12044" max="12044" width="15.7109375" style="351" bestFit="1" customWidth="1"/>
    <col min="12045" max="12045" width="14.28515625" style="351" customWidth="1"/>
    <col min="12046" max="12046" width="15.42578125" style="351" bestFit="1" customWidth="1"/>
    <col min="12047" max="12047" width="15.28515625" style="351" bestFit="1" customWidth="1"/>
    <col min="12048" max="12051" width="11.7109375" style="351" customWidth="1"/>
    <col min="12052" max="12052" width="5.85546875" style="351" customWidth="1"/>
    <col min="12053" max="12288" width="11.42578125" style="351"/>
    <col min="12289" max="12294" width="0" style="351" hidden="1" customWidth="1"/>
    <col min="12295" max="12295" width="6.85546875" style="351" customWidth="1"/>
    <col min="12296" max="12299" width="0" style="351" hidden="1" customWidth="1"/>
    <col min="12300" max="12300" width="15.7109375" style="351" bestFit="1" customWidth="1"/>
    <col min="12301" max="12301" width="14.28515625" style="351" customWidth="1"/>
    <col min="12302" max="12302" width="15.42578125" style="351" bestFit="1" customWidth="1"/>
    <col min="12303" max="12303" width="15.28515625" style="351" bestFit="1" customWidth="1"/>
    <col min="12304" max="12307" width="11.7109375" style="351" customWidth="1"/>
    <col min="12308" max="12308" width="5.85546875" style="351" customWidth="1"/>
    <col min="12309" max="12544" width="11.42578125" style="351"/>
    <col min="12545" max="12550" width="0" style="351" hidden="1" customWidth="1"/>
    <col min="12551" max="12551" width="6.85546875" style="351" customWidth="1"/>
    <col min="12552" max="12555" width="0" style="351" hidden="1" customWidth="1"/>
    <col min="12556" max="12556" width="15.7109375" style="351" bestFit="1" customWidth="1"/>
    <col min="12557" max="12557" width="14.28515625" style="351" customWidth="1"/>
    <col min="12558" max="12558" width="15.42578125" style="351" bestFit="1" customWidth="1"/>
    <col min="12559" max="12559" width="15.28515625" style="351" bestFit="1" customWidth="1"/>
    <col min="12560" max="12563" width="11.7109375" style="351" customWidth="1"/>
    <col min="12564" max="12564" width="5.85546875" style="351" customWidth="1"/>
    <col min="12565" max="12800" width="11.42578125" style="351"/>
    <col min="12801" max="12806" width="0" style="351" hidden="1" customWidth="1"/>
    <col min="12807" max="12807" width="6.85546875" style="351" customWidth="1"/>
    <col min="12808" max="12811" width="0" style="351" hidden="1" customWidth="1"/>
    <col min="12812" max="12812" width="15.7109375" style="351" bestFit="1" customWidth="1"/>
    <col min="12813" max="12813" width="14.28515625" style="351" customWidth="1"/>
    <col min="12814" max="12814" width="15.42578125" style="351" bestFit="1" customWidth="1"/>
    <col min="12815" max="12815" width="15.28515625" style="351" bestFit="1" customWidth="1"/>
    <col min="12816" max="12819" width="11.7109375" style="351" customWidth="1"/>
    <col min="12820" max="12820" width="5.85546875" style="351" customWidth="1"/>
    <col min="12821" max="13056" width="11.42578125" style="351"/>
    <col min="13057" max="13062" width="0" style="351" hidden="1" customWidth="1"/>
    <col min="13063" max="13063" width="6.85546875" style="351" customWidth="1"/>
    <col min="13064" max="13067" width="0" style="351" hidden="1" customWidth="1"/>
    <col min="13068" max="13068" width="15.7109375" style="351" bestFit="1" customWidth="1"/>
    <col min="13069" max="13069" width="14.28515625" style="351" customWidth="1"/>
    <col min="13070" max="13070" width="15.42578125" style="351" bestFit="1" customWidth="1"/>
    <col min="13071" max="13071" width="15.28515625" style="351" bestFit="1" customWidth="1"/>
    <col min="13072" max="13075" width="11.7109375" style="351" customWidth="1"/>
    <col min="13076" max="13076" width="5.85546875" style="351" customWidth="1"/>
    <col min="13077" max="13312" width="11.42578125" style="351"/>
    <col min="13313" max="13318" width="0" style="351" hidden="1" customWidth="1"/>
    <col min="13319" max="13319" width="6.85546875" style="351" customWidth="1"/>
    <col min="13320" max="13323" width="0" style="351" hidden="1" customWidth="1"/>
    <col min="13324" max="13324" width="15.7109375" style="351" bestFit="1" customWidth="1"/>
    <col min="13325" max="13325" width="14.28515625" style="351" customWidth="1"/>
    <col min="13326" max="13326" width="15.42578125" style="351" bestFit="1" customWidth="1"/>
    <col min="13327" max="13327" width="15.28515625" style="351" bestFit="1" customWidth="1"/>
    <col min="13328" max="13331" width="11.7109375" style="351" customWidth="1"/>
    <col min="13332" max="13332" width="5.85546875" style="351" customWidth="1"/>
    <col min="13333" max="13568" width="11.42578125" style="351"/>
    <col min="13569" max="13574" width="0" style="351" hidden="1" customWidth="1"/>
    <col min="13575" max="13575" width="6.85546875" style="351" customWidth="1"/>
    <col min="13576" max="13579" width="0" style="351" hidden="1" customWidth="1"/>
    <col min="13580" max="13580" width="15.7109375" style="351" bestFit="1" customWidth="1"/>
    <col min="13581" max="13581" width="14.28515625" style="351" customWidth="1"/>
    <col min="13582" max="13582" width="15.42578125" style="351" bestFit="1" customWidth="1"/>
    <col min="13583" max="13583" width="15.28515625" style="351" bestFit="1" customWidth="1"/>
    <col min="13584" max="13587" width="11.7109375" style="351" customWidth="1"/>
    <col min="13588" max="13588" width="5.85546875" style="351" customWidth="1"/>
    <col min="13589" max="13824" width="11.42578125" style="351"/>
    <col min="13825" max="13830" width="0" style="351" hidden="1" customWidth="1"/>
    <col min="13831" max="13831" width="6.85546875" style="351" customWidth="1"/>
    <col min="13832" max="13835" width="0" style="351" hidden="1" customWidth="1"/>
    <col min="13836" max="13836" width="15.7109375" style="351" bestFit="1" customWidth="1"/>
    <col min="13837" max="13837" width="14.28515625" style="351" customWidth="1"/>
    <col min="13838" max="13838" width="15.42578125" style="351" bestFit="1" customWidth="1"/>
    <col min="13839" max="13839" width="15.28515625" style="351" bestFit="1" customWidth="1"/>
    <col min="13840" max="13843" width="11.7109375" style="351" customWidth="1"/>
    <col min="13844" max="13844" width="5.85546875" style="351" customWidth="1"/>
    <col min="13845" max="14080" width="11.42578125" style="351"/>
    <col min="14081" max="14086" width="0" style="351" hidden="1" customWidth="1"/>
    <col min="14087" max="14087" width="6.85546875" style="351" customWidth="1"/>
    <col min="14088" max="14091" width="0" style="351" hidden="1" customWidth="1"/>
    <col min="14092" max="14092" width="15.7109375" style="351" bestFit="1" customWidth="1"/>
    <col min="14093" max="14093" width="14.28515625" style="351" customWidth="1"/>
    <col min="14094" max="14094" width="15.42578125" style="351" bestFit="1" customWidth="1"/>
    <col min="14095" max="14095" width="15.28515625" style="351" bestFit="1" customWidth="1"/>
    <col min="14096" max="14099" width="11.7109375" style="351" customWidth="1"/>
    <col min="14100" max="14100" width="5.85546875" style="351" customWidth="1"/>
    <col min="14101" max="14336" width="11.42578125" style="351"/>
    <col min="14337" max="14342" width="0" style="351" hidden="1" customWidth="1"/>
    <col min="14343" max="14343" width="6.85546875" style="351" customWidth="1"/>
    <col min="14344" max="14347" width="0" style="351" hidden="1" customWidth="1"/>
    <col min="14348" max="14348" width="15.7109375" style="351" bestFit="1" customWidth="1"/>
    <col min="14349" max="14349" width="14.28515625" style="351" customWidth="1"/>
    <col min="14350" max="14350" width="15.42578125" style="351" bestFit="1" customWidth="1"/>
    <col min="14351" max="14351" width="15.28515625" style="351" bestFit="1" customWidth="1"/>
    <col min="14352" max="14355" width="11.7109375" style="351" customWidth="1"/>
    <col min="14356" max="14356" width="5.85546875" style="351" customWidth="1"/>
    <col min="14357" max="14592" width="11.42578125" style="351"/>
    <col min="14593" max="14598" width="0" style="351" hidden="1" customWidth="1"/>
    <col min="14599" max="14599" width="6.85546875" style="351" customWidth="1"/>
    <col min="14600" max="14603" width="0" style="351" hidden="1" customWidth="1"/>
    <col min="14604" max="14604" width="15.7109375" style="351" bestFit="1" customWidth="1"/>
    <col min="14605" max="14605" width="14.28515625" style="351" customWidth="1"/>
    <col min="14606" max="14606" width="15.42578125" style="351" bestFit="1" customWidth="1"/>
    <col min="14607" max="14607" width="15.28515625" style="351" bestFit="1" customWidth="1"/>
    <col min="14608" max="14611" width="11.7109375" style="351" customWidth="1"/>
    <col min="14612" max="14612" width="5.85546875" style="351" customWidth="1"/>
    <col min="14613" max="14848" width="11.42578125" style="351"/>
    <col min="14849" max="14854" width="0" style="351" hidden="1" customWidth="1"/>
    <col min="14855" max="14855" width="6.85546875" style="351" customWidth="1"/>
    <col min="14856" max="14859" width="0" style="351" hidden="1" customWidth="1"/>
    <col min="14860" max="14860" width="15.7109375" style="351" bestFit="1" customWidth="1"/>
    <col min="14861" max="14861" width="14.28515625" style="351" customWidth="1"/>
    <col min="14862" max="14862" width="15.42578125" style="351" bestFit="1" customWidth="1"/>
    <col min="14863" max="14863" width="15.28515625" style="351" bestFit="1" customWidth="1"/>
    <col min="14864" max="14867" width="11.7109375" style="351" customWidth="1"/>
    <col min="14868" max="14868" width="5.85546875" style="351" customWidth="1"/>
    <col min="14869" max="15104" width="11.42578125" style="351"/>
    <col min="15105" max="15110" width="0" style="351" hidden="1" customWidth="1"/>
    <col min="15111" max="15111" width="6.85546875" style="351" customWidth="1"/>
    <col min="15112" max="15115" width="0" style="351" hidden="1" customWidth="1"/>
    <col min="15116" max="15116" width="15.7109375" style="351" bestFit="1" customWidth="1"/>
    <col min="15117" max="15117" width="14.28515625" style="351" customWidth="1"/>
    <col min="15118" max="15118" width="15.42578125" style="351" bestFit="1" customWidth="1"/>
    <col min="15119" max="15119" width="15.28515625" style="351" bestFit="1" customWidth="1"/>
    <col min="15120" max="15123" width="11.7109375" style="351" customWidth="1"/>
    <col min="15124" max="15124" width="5.85546875" style="351" customWidth="1"/>
    <col min="15125" max="15360" width="11.42578125" style="351"/>
    <col min="15361" max="15366" width="0" style="351" hidden="1" customWidth="1"/>
    <col min="15367" max="15367" width="6.85546875" style="351" customWidth="1"/>
    <col min="15368" max="15371" width="0" style="351" hidden="1" customWidth="1"/>
    <col min="15372" max="15372" width="15.7109375" style="351" bestFit="1" customWidth="1"/>
    <col min="15373" max="15373" width="14.28515625" style="351" customWidth="1"/>
    <col min="15374" max="15374" width="15.42578125" style="351" bestFit="1" customWidth="1"/>
    <col min="15375" max="15375" width="15.28515625" style="351" bestFit="1" customWidth="1"/>
    <col min="15376" max="15379" width="11.7109375" style="351" customWidth="1"/>
    <col min="15380" max="15380" width="5.85546875" style="351" customWidth="1"/>
    <col min="15381" max="15616" width="11.42578125" style="351"/>
    <col min="15617" max="15622" width="0" style="351" hidden="1" customWidth="1"/>
    <col min="15623" max="15623" width="6.85546875" style="351" customWidth="1"/>
    <col min="15624" max="15627" width="0" style="351" hidden="1" customWidth="1"/>
    <col min="15628" max="15628" width="15.7109375" style="351" bestFit="1" customWidth="1"/>
    <col min="15629" max="15629" width="14.28515625" style="351" customWidth="1"/>
    <col min="15630" max="15630" width="15.42578125" style="351" bestFit="1" customWidth="1"/>
    <col min="15631" max="15631" width="15.28515625" style="351" bestFit="1" customWidth="1"/>
    <col min="15632" max="15635" width="11.7109375" style="351" customWidth="1"/>
    <col min="15636" max="15636" width="5.85546875" style="351" customWidth="1"/>
    <col min="15637" max="15872" width="11.42578125" style="351"/>
    <col min="15873" max="15878" width="0" style="351" hidden="1" customWidth="1"/>
    <col min="15879" max="15879" width="6.85546875" style="351" customWidth="1"/>
    <col min="15880" max="15883" width="0" style="351" hidden="1" customWidth="1"/>
    <col min="15884" max="15884" width="15.7109375" style="351" bestFit="1" customWidth="1"/>
    <col min="15885" max="15885" width="14.28515625" style="351" customWidth="1"/>
    <col min="15886" max="15886" width="15.42578125" style="351" bestFit="1" customWidth="1"/>
    <col min="15887" max="15887" width="15.28515625" style="351" bestFit="1" customWidth="1"/>
    <col min="15888" max="15891" width="11.7109375" style="351" customWidth="1"/>
    <col min="15892" max="15892" width="5.85546875" style="351" customWidth="1"/>
    <col min="15893" max="16128" width="11.42578125" style="351"/>
    <col min="16129" max="16134" width="0" style="351" hidden="1" customWidth="1"/>
    <col min="16135" max="16135" width="6.85546875" style="351" customWidth="1"/>
    <col min="16136" max="16139" width="0" style="351" hidden="1" customWidth="1"/>
    <col min="16140" max="16140" width="15.7109375" style="351" bestFit="1" customWidth="1"/>
    <col min="16141" max="16141" width="14.28515625" style="351" customWidth="1"/>
    <col min="16142" max="16142" width="15.42578125" style="351" bestFit="1" customWidth="1"/>
    <col min="16143" max="16143" width="15.28515625" style="351" bestFit="1" customWidth="1"/>
    <col min="16144" max="16147" width="11.7109375" style="351" customWidth="1"/>
    <col min="16148" max="16148" width="5.85546875" style="351" customWidth="1"/>
    <col min="16149" max="16384" width="11.42578125" style="351"/>
  </cols>
  <sheetData>
    <row r="1" spans="1:20" ht="13.5" thickTop="1" x14ac:dyDescent="0.2">
      <c r="G1" s="345"/>
      <c r="H1" s="346"/>
      <c r="I1" s="346"/>
      <c r="J1" s="346"/>
      <c r="K1" s="346"/>
      <c r="L1" s="347" t="s">
        <v>349</v>
      </c>
      <c r="M1" s="348" t="s">
        <v>350</v>
      </c>
      <c r="N1" s="348" t="s">
        <v>351</v>
      </c>
      <c r="O1" s="349" t="s">
        <v>352</v>
      </c>
    </row>
    <row r="2" spans="1:20" ht="15" x14ac:dyDescent="0.25">
      <c r="E2" s="352"/>
      <c r="G2" s="353">
        <v>2010</v>
      </c>
      <c r="H2" s="354">
        <v>128343449</v>
      </c>
      <c r="I2" s="354">
        <f>H2*'[1]BZP avec remb anticipé (4,97)'!$H$88*9/12</f>
        <v>4784002.0614750003</v>
      </c>
      <c r="J2" s="354">
        <f>H2/25*9/12</f>
        <v>3850303.47</v>
      </c>
      <c r="K2" s="354">
        <f t="shared" ref="K2:K26" si="0">H2-J2</f>
        <v>124493145.53</v>
      </c>
      <c r="L2" s="355">
        <f>H2</f>
        <v>128343449</v>
      </c>
      <c r="M2" s="356">
        <f>L2*'BZP avec remb ant4,97 puis 5,5'!H88*9/12</f>
        <v>4331591.4037499996</v>
      </c>
      <c r="N2" s="356">
        <f>L2/25*9/12</f>
        <v>3850303.47</v>
      </c>
      <c r="O2" s="357">
        <f t="shared" ref="O2:O25" si="1">IF(L2-N2&gt;0,L2-N2,0)</f>
        <v>124493145.53</v>
      </c>
      <c r="P2" s="350">
        <v>38626013</v>
      </c>
      <c r="Q2" s="350">
        <f>P2</f>
        <v>38626013</v>
      </c>
      <c r="R2" s="350">
        <f>Q2/2</f>
        <v>19313006.5</v>
      </c>
      <c r="S2" s="350">
        <f>SUM(P2:R2)</f>
        <v>96565032.5</v>
      </c>
      <c r="T2" s="358">
        <f>S2/L2</f>
        <v>0.7523954923480356</v>
      </c>
    </row>
    <row r="3" spans="1:20" ht="15" x14ac:dyDescent="0.25">
      <c r="E3" s="352"/>
      <c r="G3" s="353">
        <f t="shared" ref="G3:G27" si="2">G2+1</f>
        <v>2011</v>
      </c>
      <c r="H3" s="354">
        <f t="shared" ref="H3:H27" si="3">K2</f>
        <v>124493145.53</v>
      </c>
      <c r="I3" s="354">
        <f>H3*'[1]BZP avec remb anticipé (4,97)'!$H$88</f>
        <v>6187309.3328410005</v>
      </c>
      <c r="J3" s="354">
        <f>H2/25</f>
        <v>5133737.96</v>
      </c>
      <c r="K3" s="354">
        <f t="shared" si="0"/>
        <v>119359407.57000001</v>
      </c>
      <c r="L3" s="359">
        <f>IF(O2-'BZP avec remb ant4,97 puis 5,5'!G79&gt;0,O2-'BZP avec remb ant4,97 puis 5,5'!G79,0)</f>
        <v>122386809.46404694</v>
      </c>
      <c r="M3" s="356">
        <f>IF(L3&lt;&gt;"",L3*'BZP avec remb ant4,97 puis 5,5'!H89,"")</f>
        <v>5690986.6400781823</v>
      </c>
      <c r="N3" s="356">
        <f>$L$2/25</f>
        <v>5133737.96</v>
      </c>
      <c r="O3" s="357">
        <f t="shared" si="1"/>
        <v>117253071.50404695</v>
      </c>
      <c r="P3" s="350">
        <f>P2-1545040</f>
        <v>37080973</v>
      </c>
      <c r="Q3" s="350">
        <f t="shared" ref="Q3:Q16" si="4">P3</f>
        <v>37080973</v>
      </c>
      <c r="R3" s="350">
        <f t="shared" ref="R3:R16" si="5">Q3/2</f>
        <v>18540486.5</v>
      </c>
      <c r="S3" s="350">
        <f t="shared" ref="S3:S16" si="6">SUM(P3:R3)</f>
        <v>92702432.5</v>
      </c>
      <c r="T3" s="358">
        <f>S3/L3</f>
        <v>0.75745444223899638</v>
      </c>
    </row>
    <row r="4" spans="1:20" ht="15" x14ac:dyDescent="0.25">
      <c r="E4" s="352"/>
      <c r="G4" s="353">
        <f t="shared" si="2"/>
        <v>2012</v>
      </c>
      <c r="H4" s="354">
        <f t="shared" si="3"/>
        <v>119359407.57000001</v>
      </c>
      <c r="I4" s="354">
        <f>H4*'[1]BZP avec remb anticipé (4,97)'!$H$88</f>
        <v>5932162.5562290009</v>
      </c>
      <c r="J4" s="354">
        <f t="shared" ref="J4:J26" si="7">J3</f>
        <v>5133737.96</v>
      </c>
      <c r="K4" s="354">
        <f t="shared" si="0"/>
        <v>114225669.61000001</v>
      </c>
      <c r="L4" s="359">
        <f>IF(O3-'BZP avec remb ant4,97 puis 5,5'!H79&gt;0,O3-'BZP avec remb ant4,97 puis 5,5'!H79,0)</f>
        <v>114691013.06588867</v>
      </c>
      <c r="M4" s="356">
        <f>IF(L4&lt;&gt;"",L4*'BZP avec remb ant4,97 puis 5,5'!H90,"")</f>
        <v>5562514.1336956006</v>
      </c>
      <c r="N4" s="356">
        <f>$L$2/25</f>
        <v>5133737.96</v>
      </c>
      <c r="O4" s="357">
        <f t="shared" si="1"/>
        <v>109557275.10588868</v>
      </c>
      <c r="P4" s="350">
        <f>P3-1545040</f>
        <v>35535933</v>
      </c>
      <c r="Q4" s="350">
        <f t="shared" si="4"/>
        <v>35535933</v>
      </c>
      <c r="R4" s="350">
        <f t="shared" si="5"/>
        <v>17767966.5</v>
      </c>
      <c r="S4" s="350">
        <f t="shared" si="6"/>
        <v>88839832.5</v>
      </c>
      <c r="T4" s="358">
        <f t="shared" ref="T4:T16" si="8">S4/L4</f>
        <v>0.77460151519424225</v>
      </c>
    </row>
    <row r="5" spans="1:20" ht="15" x14ac:dyDescent="0.25">
      <c r="E5" s="352"/>
      <c r="G5" s="353">
        <f t="shared" si="2"/>
        <v>2013</v>
      </c>
      <c r="H5" s="354">
        <f t="shared" si="3"/>
        <v>114225669.61000001</v>
      </c>
      <c r="I5" s="354">
        <f>H5*'[1]BZP avec remb anticipé (4,97)'!$H$88</f>
        <v>5677015.7796170013</v>
      </c>
      <c r="J5" s="354">
        <f t="shared" si="7"/>
        <v>5133737.96</v>
      </c>
      <c r="K5" s="354">
        <f t="shared" si="0"/>
        <v>109091931.65000002</v>
      </c>
      <c r="L5" s="359">
        <f>IF(O4-'BZP avec remb ant4,97 puis 5,5'!I79&gt;0,O4-'BZP avec remb ant4,97 puis 5,5'!I79,0)</f>
        <v>107430549.77481785</v>
      </c>
      <c r="M5" s="356">
        <f t="shared" ref="M5:M19" si="9">L5*0.052</f>
        <v>5586388.5882905284</v>
      </c>
      <c r="N5" s="356">
        <f t="shared" ref="N5:N19" si="10">$L$2/25</f>
        <v>5133737.96</v>
      </c>
      <c r="O5" s="357">
        <f t="shared" si="1"/>
        <v>102296811.81481786</v>
      </c>
      <c r="P5" s="350">
        <f t="shared" ref="P5:P13" si="11">P4-1545040</f>
        <v>33990893</v>
      </c>
      <c r="Q5" s="350">
        <f t="shared" si="4"/>
        <v>33990893</v>
      </c>
      <c r="R5" s="350">
        <f t="shared" si="5"/>
        <v>16995446.5</v>
      </c>
      <c r="S5" s="350">
        <f t="shared" si="6"/>
        <v>84977232.5</v>
      </c>
      <c r="T5" s="358">
        <f t="shared" si="8"/>
        <v>0.79099690616978491</v>
      </c>
    </row>
    <row r="6" spans="1:20" ht="15" x14ac:dyDescent="0.25">
      <c r="E6" s="352"/>
      <c r="G6" s="353">
        <f t="shared" si="2"/>
        <v>2014</v>
      </c>
      <c r="H6" s="354">
        <f t="shared" si="3"/>
        <v>109091931.65000002</v>
      </c>
      <c r="I6" s="354">
        <f>H6*'[1]BZP avec remb anticipé (4,97)'!$H$88</f>
        <v>5421869.0030050008</v>
      </c>
      <c r="J6" s="354">
        <f t="shared" si="7"/>
        <v>5133737.96</v>
      </c>
      <c r="K6" s="354">
        <f t="shared" si="0"/>
        <v>103958193.69000003</v>
      </c>
      <c r="L6" s="359">
        <f>IF(O5-'BZP avec remb ant4,97 puis 5,5'!J79&gt;0,O5-'BZP avec remb ant4,97 puis 5,5'!J79,0)</f>
        <v>101429979.35170144</v>
      </c>
      <c r="M6" s="356">
        <f t="shared" si="9"/>
        <v>5274358.9262884744</v>
      </c>
      <c r="N6" s="356">
        <f t="shared" si="10"/>
        <v>5133737.96</v>
      </c>
      <c r="O6" s="357">
        <f t="shared" si="1"/>
        <v>96296241.391701445</v>
      </c>
      <c r="P6" s="350">
        <f t="shared" si="11"/>
        <v>32445853</v>
      </c>
      <c r="Q6" s="350">
        <f t="shared" si="4"/>
        <v>32445853</v>
      </c>
      <c r="R6" s="350">
        <f t="shared" si="5"/>
        <v>16222926.5</v>
      </c>
      <c r="S6" s="350">
        <f t="shared" si="6"/>
        <v>81114632.5</v>
      </c>
      <c r="T6" s="358">
        <f t="shared" si="8"/>
        <v>0.79971062814417637</v>
      </c>
    </row>
    <row r="7" spans="1:20" ht="15" x14ac:dyDescent="0.25">
      <c r="E7" s="352"/>
      <c r="G7" s="353">
        <f t="shared" si="2"/>
        <v>2015</v>
      </c>
      <c r="H7" s="354">
        <f t="shared" si="3"/>
        <v>103958193.69000003</v>
      </c>
      <c r="I7" s="354">
        <f>H7*'[1]BZP avec remb anticipé (4,97)'!$H$88</f>
        <v>5166722.2263930012</v>
      </c>
      <c r="J7" s="354">
        <f t="shared" si="7"/>
        <v>5133737.96</v>
      </c>
      <c r="K7" s="354">
        <f t="shared" si="0"/>
        <v>98824455.730000034</v>
      </c>
      <c r="L7" s="359">
        <f>IF(O6-'BZP avec remb ant4,97 puis 5,5'!K79&gt;0,O6-'BZP avec remb ant4,97 puis 5,5'!K79,0)</f>
        <v>95165377.556360736</v>
      </c>
      <c r="M7" s="356">
        <f t="shared" si="9"/>
        <v>4948599.6329307584</v>
      </c>
      <c r="N7" s="356">
        <f t="shared" si="10"/>
        <v>5133737.96</v>
      </c>
      <c r="O7" s="357">
        <f t="shared" si="1"/>
        <v>90031639.596360743</v>
      </c>
      <c r="P7" s="350">
        <f t="shared" si="11"/>
        <v>30900813</v>
      </c>
      <c r="Q7" s="350">
        <f t="shared" si="4"/>
        <v>30900813</v>
      </c>
      <c r="R7" s="350">
        <f t="shared" si="5"/>
        <v>15450406.5</v>
      </c>
      <c r="S7" s="350">
        <f t="shared" si="6"/>
        <v>77252032.5</v>
      </c>
      <c r="T7" s="358">
        <f t="shared" si="8"/>
        <v>0.81176615365444493</v>
      </c>
    </row>
    <row r="8" spans="1:20" ht="15" x14ac:dyDescent="0.25">
      <c r="E8" s="352"/>
      <c r="G8" s="353">
        <f t="shared" si="2"/>
        <v>2016</v>
      </c>
      <c r="H8" s="354">
        <f t="shared" si="3"/>
        <v>98824455.730000034</v>
      </c>
      <c r="I8" s="354">
        <f>H8*'[1]BZP avec remb anticipé (4,97)'!$H$88</f>
        <v>4911575.4497810015</v>
      </c>
      <c r="J8" s="354">
        <f t="shared" si="7"/>
        <v>5133737.96</v>
      </c>
      <c r="K8" s="354">
        <f t="shared" si="0"/>
        <v>93690717.770000041</v>
      </c>
      <c r="L8" s="359">
        <f>IF(O7-'BZP avec remb ant4,97 puis 5,5'!L79&gt;0,O7-'BZP avec remb ant4,97 puis 5,5'!L79,0)</f>
        <v>88778666.696570456</v>
      </c>
      <c r="M8" s="356">
        <f t="shared" si="9"/>
        <v>4616490.6682216637</v>
      </c>
      <c r="N8" s="356">
        <f t="shared" si="10"/>
        <v>5133737.96</v>
      </c>
      <c r="O8" s="357">
        <f t="shared" si="1"/>
        <v>83644928.736570463</v>
      </c>
      <c r="P8" s="350">
        <f t="shared" si="11"/>
        <v>29355773</v>
      </c>
      <c r="Q8" s="350">
        <f t="shared" si="4"/>
        <v>29355773</v>
      </c>
      <c r="R8" s="350">
        <f t="shared" si="5"/>
        <v>14677886.5</v>
      </c>
      <c r="S8" s="350">
        <f t="shared" si="6"/>
        <v>73389432.5</v>
      </c>
      <c r="T8" s="358">
        <f t="shared" si="8"/>
        <v>0.82665616899645389</v>
      </c>
    </row>
    <row r="9" spans="1:20" ht="15" x14ac:dyDescent="0.25">
      <c r="E9" s="352"/>
      <c r="G9" s="353">
        <f t="shared" si="2"/>
        <v>2017</v>
      </c>
      <c r="H9" s="354">
        <f t="shared" si="3"/>
        <v>93690717.770000041</v>
      </c>
      <c r="I9" s="354">
        <f>H9*'[1]BZP avec remb anticipé (4,97)'!$H$88</f>
        <v>4656428.6731690019</v>
      </c>
      <c r="J9" s="354">
        <f t="shared" si="7"/>
        <v>5133737.96</v>
      </c>
      <c r="K9" s="354">
        <f t="shared" si="0"/>
        <v>88556979.810000047</v>
      </c>
      <c r="L9" s="359">
        <f>IF(O8-'BZP avec remb ant4,97 puis 5,5'!M79&gt;0,O8-'BZP avec remb ant4,97 puis 5,5'!M79,0)</f>
        <v>82884393.338415831</v>
      </c>
      <c r="M9" s="356">
        <f t="shared" si="9"/>
        <v>4309988.4535976229</v>
      </c>
      <c r="N9" s="356">
        <f t="shared" si="10"/>
        <v>5133737.96</v>
      </c>
      <c r="O9" s="357">
        <f t="shared" si="1"/>
        <v>77750655.378415838</v>
      </c>
      <c r="P9" s="350">
        <f t="shared" si="11"/>
        <v>27810733</v>
      </c>
      <c r="Q9" s="350">
        <f t="shared" si="4"/>
        <v>27810733</v>
      </c>
      <c r="R9" s="350">
        <f t="shared" si="5"/>
        <v>13905366.5</v>
      </c>
      <c r="S9" s="350">
        <f t="shared" si="6"/>
        <v>69526832.5</v>
      </c>
      <c r="T9" s="358">
        <f t="shared" si="8"/>
        <v>0.83884106162330108</v>
      </c>
    </row>
    <row r="10" spans="1:20" ht="15" x14ac:dyDescent="0.25">
      <c r="E10" s="352"/>
      <c r="G10" s="353">
        <f t="shared" si="2"/>
        <v>2018</v>
      </c>
      <c r="H10" s="354">
        <f t="shared" si="3"/>
        <v>88556979.810000047</v>
      </c>
      <c r="I10" s="354">
        <f>H10*'[1]BZP avec remb anticipé (4,97)'!$H$88</f>
        <v>4401281.8965570023</v>
      </c>
      <c r="J10" s="354">
        <f t="shared" si="7"/>
        <v>5133737.96</v>
      </c>
      <c r="K10" s="354">
        <f t="shared" si="0"/>
        <v>83423241.850000054</v>
      </c>
      <c r="L10" s="359">
        <f>IF(O9-'BZP avec remb ant4,97 puis 5,5'!N79&gt;0,O9-'BZP avec remb ant4,97 puis 5,5'!N79,0)</f>
        <v>76203168.970344543</v>
      </c>
      <c r="M10" s="356">
        <f t="shared" si="9"/>
        <v>3962564.7864579163</v>
      </c>
      <c r="N10" s="356">
        <f t="shared" si="10"/>
        <v>5133737.96</v>
      </c>
      <c r="O10" s="357">
        <f t="shared" si="1"/>
        <v>71069431.01034455</v>
      </c>
      <c r="P10" s="350">
        <f t="shared" si="11"/>
        <v>26265693</v>
      </c>
      <c r="Q10" s="350">
        <f t="shared" si="4"/>
        <v>26265693</v>
      </c>
      <c r="R10" s="350">
        <f t="shared" si="5"/>
        <v>13132846.5</v>
      </c>
      <c r="S10" s="350">
        <f t="shared" si="6"/>
        <v>65664232.5</v>
      </c>
      <c r="T10" s="358">
        <f t="shared" si="8"/>
        <v>0.86169949868560047</v>
      </c>
    </row>
    <row r="11" spans="1:20" ht="15" x14ac:dyDescent="0.25">
      <c r="E11" s="352"/>
      <c r="G11" s="353">
        <f t="shared" si="2"/>
        <v>2019</v>
      </c>
      <c r="H11" s="354">
        <f t="shared" si="3"/>
        <v>83423241.850000054</v>
      </c>
      <c r="I11" s="354">
        <f>H11*'[1]BZP avec remb anticipé (4,97)'!$H$88</f>
        <v>4146135.1199450027</v>
      </c>
      <c r="J11" s="354">
        <f t="shared" si="7"/>
        <v>5133737.96</v>
      </c>
      <c r="K11" s="354">
        <f t="shared" si="0"/>
        <v>78289503.89000006</v>
      </c>
      <c r="L11" s="359">
        <f>IF(O10-'BZP avec remb ant4,97 puis 5,5'!O79&gt;0,O10-'BZP avec remb ant4,97 puis 5,5'!O79,0)</f>
        <v>69346467.612923294</v>
      </c>
      <c r="M11" s="356">
        <f t="shared" si="9"/>
        <v>3606016.3158720112</v>
      </c>
      <c r="N11" s="356">
        <f t="shared" si="10"/>
        <v>5133737.96</v>
      </c>
      <c r="O11" s="357">
        <f t="shared" si="1"/>
        <v>64212729.652923293</v>
      </c>
      <c r="P11" s="350">
        <f t="shared" si="11"/>
        <v>24720653</v>
      </c>
      <c r="Q11" s="350">
        <f t="shared" si="4"/>
        <v>24720653</v>
      </c>
      <c r="R11" s="350">
        <f t="shared" si="5"/>
        <v>12360326.5</v>
      </c>
      <c r="S11" s="350">
        <f t="shared" si="6"/>
        <v>61801632.5</v>
      </c>
      <c r="T11" s="358">
        <f t="shared" si="8"/>
        <v>0.8912008733445963</v>
      </c>
    </row>
    <row r="12" spans="1:20" ht="15" x14ac:dyDescent="0.25">
      <c r="E12" s="352"/>
      <c r="G12" s="353">
        <f t="shared" si="2"/>
        <v>2020</v>
      </c>
      <c r="H12" s="354">
        <f t="shared" si="3"/>
        <v>78289503.89000006</v>
      </c>
      <c r="I12" s="354">
        <f>H12*'[1]BZP avec remb anticipé (4,97)'!$H$88</f>
        <v>3890988.3433330031</v>
      </c>
      <c r="J12" s="354">
        <f t="shared" si="7"/>
        <v>5133737.96</v>
      </c>
      <c r="K12" s="354">
        <f t="shared" si="0"/>
        <v>73155765.930000067</v>
      </c>
      <c r="L12" s="359">
        <f>IF(O11-'BZP avec remb ant4,97 puis 5,5'!P79&gt;0,O11-'BZP avec remb ant4,97 puis 5,5'!P79,0)</f>
        <v>63261979.3774563</v>
      </c>
      <c r="M12" s="356">
        <f t="shared" si="9"/>
        <v>3289622.9276277274</v>
      </c>
      <c r="N12" s="356">
        <f t="shared" si="10"/>
        <v>5133737.96</v>
      </c>
      <c r="O12" s="357">
        <f t="shared" si="1"/>
        <v>58128241.417456299</v>
      </c>
      <c r="P12" s="350">
        <f t="shared" si="11"/>
        <v>23175613</v>
      </c>
      <c r="Q12" s="350">
        <f t="shared" si="4"/>
        <v>23175613</v>
      </c>
      <c r="R12" s="350">
        <f t="shared" si="5"/>
        <v>11587806.5</v>
      </c>
      <c r="S12" s="350">
        <f t="shared" si="6"/>
        <v>57939032.5</v>
      </c>
      <c r="T12" s="358">
        <f t="shared" si="8"/>
        <v>0.9158586732530668</v>
      </c>
    </row>
    <row r="13" spans="1:20" ht="15" x14ac:dyDescent="0.25">
      <c r="E13" s="352"/>
      <c r="G13" s="353">
        <f t="shared" si="2"/>
        <v>2021</v>
      </c>
      <c r="H13" s="354">
        <f t="shared" si="3"/>
        <v>73155765.930000067</v>
      </c>
      <c r="I13" s="354">
        <f>H13*'[1]BZP avec remb anticipé (4,97)'!$H$88</f>
        <v>3635841.5667210035</v>
      </c>
      <c r="J13" s="354">
        <f t="shared" si="7"/>
        <v>5133737.96</v>
      </c>
      <c r="K13" s="354">
        <f t="shared" si="0"/>
        <v>68022027.970000073</v>
      </c>
      <c r="L13" s="359">
        <f>IF(O12-'BZP avec remb ant4,97 puis 5,5'!Q79&gt;0,O12-'BZP avec remb ant4,97 puis 5,5'!Q79,0)</f>
        <v>56102260.325841859</v>
      </c>
      <c r="M13" s="356">
        <f t="shared" si="9"/>
        <v>2917317.5369437765</v>
      </c>
      <c r="N13" s="356">
        <f t="shared" si="10"/>
        <v>5133737.96</v>
      </c>
      <c r="O13" s="357">
        <f t="shared" si="1"/>
        <v>50968522.365841858</v>
      </c>
      <c r="P13" s="350">
        <f t="shared" si="11"/>
        <v>21630573</v>
      </c>
      <c r="Q13" s="350">
        <f t="shared" si="4"/>
        <v>21630573</v>
      </c>
      <c r="R13" s="350">
        <f t="shared" si="5"/>
        <v>10815286.5</v>
      </c>
      <c r="S13" s="350">
        <f t="shared" si="6"/>
        <v>54076432.5</v>
      </c>
      <c r="T13" s="358">
        <f t="shared" si="8"/>
        <v>0.96389044195232321</v>
      </c>
    </row>
    <row r="14" spans="1:20" ht="15" x14ac:dyDescent="0.25">
      <c r="E14" s="352"/>
      <c r="G14" s="360">
        <f t="shared" si="2"/>
        <v>2022</v>
      </c>
      <c r="H14" s="361">
        <f t="shared" si="3"/>
        <v>68022027.970000073</v>
      </c>
      <c r="I14" s="361">
        <f>H14*'[1]BZP avec remb anticipé (4,97)'!$H$88</f>
        <v>3380694.7901090039</v>
      </c>
      <c r="J14" s="361">
        <f t="shared" si="7"/>
        <v>5133737.96</v>
      </c>
      <c r="K14" s="361">
        <f t="shared" si="0"/>
        <v>62888290.010000072</v>
      </c>
      <c r="L14" s="362">
        <f>IF(O13-'BZP avec remb ant4,97 puis 5,5'!R79&gt;0,O13-'BZP avec remb ant4,97 puis 5,5'!R79,0)</f>
        <v>48813340.016699381</v>
      </c>
      <c r="M14" s="363">
        <f t="shared" si="9"/>
        <v>2538293.6808683677</v>
      </c>
      <c r="N14" s="363">
        <f t="shared" si="10"/>
        <v>5133737.96</v>
      </c>
      <c r="O14" s="364">
        <f t="shared" si="1"/>
        <v>43679602.05669938</v>
      </c>
      <c r="P14" s="365">
        <f>P13-1545040</f>
        <v>20085533</v>
      </c>
      <c r="Q14" s="365">
        <f t="shared" si="4"/>
        <v>20085533</v>
      </c>
      <c r="R14" s="365">
        <f t="shared" si="5"/>
        <v>10042766.5</v>
      </c>
      <c r="S14" s="365">
        <f t="shared" si="6"/>
        <v>50213832.5</v>
      </c>
      <c r="T14" s="366">
        <f t="shared" si="8"/>
        <v>1.0286907735225965</v>
      </c>
    </row>
    <row r="15" spans="1:20" ht="15" x14ac:dyDescent="0.25">
      <c r="A15" s="367"/>
      <c r="B15" s="367"/>
      <c r="C15" s="367"/>
      <c r="D15" s="367"/>
      <c r="E15" s="368"/>
      <c r="F15" s="367"/>
      <c r="G15" s="369">
        <f t="shared" si="2"/>
        <v>2023</v>
      </c>
      <c r="H15" s="370">
        <f t="shared" si="3"/>
        <v>62888290.010000072</v>
      </c>
      <c r="I15" s="370">
        <f>H15*'[1]BZP avec remb anticipé (4,97)'!$H$88</f>
        <v>3125548.0134970038</v>
      </c>
      <c r="J15" s="370">
        <f t="shared" si="7"/>
        <v>5133737.96</v>
      </c>
      <c r="K15" s="370">
        <f t="shared" si="0"/>
        <v>57754552.050000072</v>
      </c>
      <c r="L15" s="371">
        <f>IF(O14-'BZP avec remb ant4,97 puis 5,5'!S79&gt;0,O14-'BZP avec remb ant4,97 puis 5,5'!S79,0)</f>
        <v>42047862.681964368</v>
      </c>
      <c r="M15" s="356">
        <f t="shared" si="9"/>
        <v>2186488.8594621471</v>
      </c>
      <c r="N15" s="356">
        <f t="shared" si="10"/>
        <v>5133737.96</v>
      </c>
      <c r="O15" s="372">
        <f t="shared" si="1"/>
        <v>36914124.721964367</v>
      </c>
      <c r="P15" s="373">
        <f>P14-1545040</f>
        <v>18540493</v>
      </c>
      <c r="Q15" s="373">
        <f t="shared" si="4"/>
        <v>18540493</v>
      </c>
      <c r="R15" s="373">
        <f t="shared" si="5"/>
        <v>9270246.5</v>
      </c>
      <c r="S15" s="373">
        <f t="shared" si="6"/>
        <v>46351232.5</v>
      </c>
      <c r="T15" s="374">
        <f t="shared" si="8"/>
        <v>1.1023445555505365</v>
      </c>
    </row>
    <row r="16" spans="1:20" ht="15" x14ac:dyDescent="0.25">
      <c r="E16" s="352"/>
      <c r="G16" s="353">
        <f t="shared" si="2"/>
        <v>2024</v>
      </c>
      <c r="H16" s="354">
        <f t="shared" si="3"/>
        <v>57754552.050000072</v>
      </c>
      <c r="I16" s="354">
        <f>H16*'[1]BZP avec remb anticipé (4,97)'!$H$88</f>
        <v>2870401.2368850037</v>
      </c>
      <c r="J16" s="354">
        <f t="shared" si="7"/>
        <v>5133737.96</v>
      </c>
      <c r="K16" s="354">
        <f t="shared" si="0"/>
        <v>52620814.090000071</v>
      </c>
      <c r="L16" s="359">
        <f>IF(O15-'BZP avec remb ant4,97 puis 5,5'!T79&gt;0,O15-'BZP avec remb ant4,97 puis 5,5'!T79,0)</f>
        <v>34426864.566568851</v>
      </c>
      <c r="M16" s="375">
        <f t="shared" si="9"/>
        <v>1790196.9574615802</v>
      </c>
      <c r="N16" s="356">
        <f t="shared" si="10"/>
        <v>5133737.96</v>
      </c>
      <c r="O16" s="357">
        <f t="shared" si="1"/>
        <v>29293126.606568851</v>
      </c>
      <c r="P16" s="350">
        <f>P15-1545040</f>
        <v>16995453</v>
      </c>
      <c r="Q16" s="350">
        <f t="shared" si="4"/>
        <v>16995453</v>
      </c>
      <c r="R16" s="350">
        <f t="shared" si="5"/>
        <v>8497726.5</v>
      </c>
      <c r="S16" s="350">
        <f t="shared" si="6"/>
        <v>42488632.5</v>
      </c>
      <c r="T16" s="358">
        <f t="shared" si="8"/>
        <v>1.2341708440465924</v>
      </c>
    </row>
    <row r="17" spans="5:16" x14ac:dyDescent="0.2">
      <c r="E17" s="352"/>
      <c r="F17" s="376"/>
      <c r="G17" s="353">
        <f t="shared" si="2"/>
        <v>2025</v>
      </c>
      <c r="H17" s="354">
        <f t="shared" si="3"/>
        <v>52620814.090000071</v>
      </c>
      <c r="I17" s="354">
        <f>H17*'[1]BZP avec remb anticipé (4,97)'!$H$88</f>
        <v>2615254.4602730037</v>
      </c>
      <c r="J17" s="354">
        <f t="shared" si="7"/>
        <v>5133737.96</v>
      </c>
      <c r="K17" s="354">
        <f t="shared" si="0"/>
        <v>47487076.13000007</v>
      </c>
      <c r="L17" s="359">
        <f>IF(O16-'BZP avec remb ant4,97 puis 5,5'!U79&gt;0,O16-'BZP avec remb ant4,97 puis 5,5'!U79,0)</f>
        <v>26629193.366140373</v>
      </c>
      <c r="M17" s="375">
        <f t="shared" si="9"/>
        <v>1384718.0550392994</v>
      </c>
      <c r="N17" s="356">
        <f t="shared" si="10"/>
        <v>5133737.96</v>
      </c>
      <c r="O17" s="357">
        <f t="shared" si="1"/>
        <v>21495455.406140372</v>
      </c>
    </row>
    <row r="18" spans="5:16" x14ac:dyDescent="0.2">
      <c r="E18" s="352"/>
      <c r="F18" s="376"/>
      <c r="G18" s="353">
        <f t="shared" si="2"/>
        <v>2026</v>
      </c>
      <c r="H18" s="354">
        <f t="shared" si="3"/>
        <v>47487076.13000007</v>
      </c>
      <c r="I18" s="354">
        <f>H18*'[1]BZP avec remb anticipé (4,97)'!$H$88</f>
        <v>2360107.6836610036</v>
      </c>
      <c r="J18" s="354">
        <f t="shared" si="7"/>
        <v>5133737.96</v>
      </c>
      <c r="K18" s="354">
        <f t="shared" si="0"/>
        <v>42353338.170000069</v>
      </c>
      <c r="L18" s="359">
        <f>IF(O17-'BZP avec remb ant4,97 puis 5,5'!V79&gt;0,O17-'BZP avec remb ant4,97 puis 5,5'!V79,0)</f>
        <v>18579471.58847557</v>
      </c>
      <c r="M18" s="375">
        <f t="shared" si="9"/>
        <v>966132.5226007296</v>
      </c>
      <c r="N18" s="356">
        <f t="shared" si="10"/>
        <v>5133737.96</v>
      </c>
      <c r="O18" s="357">
        <f t="shared" si="1"/>
        <v>13445733.628475569</v>
      </c>
    </row>
    <row r="19" spans="5:16" x14ac:dyDescent="0.2">
      <c r="E19" s="352"/>
      <c r="F19" s="376"/>
      <c r="G19" s="353">
        <f t="shared" si="2"/>
        <v>2027</v>
      </c>
      <c r="H19" s="354">
        <f t="shared" si="3"/>
        <v>42353338.170000069</v>
      </c>
      <c r="I19" s="354">
        <f>H19*'[1]BZP avec remb anticipé (4,97)'!$H$88</f>
        <v>2104960.9070490035</v>
      </c>
      <c r="J19" s="354">
        <f t="shared" si="7"/>
        <v>5133737.96</v>
      </c>
      <c r="K19" s="354">
        <f t="shared" si="0"/>
        <v>37219600.210000068</v>
      </c>
      <c r="L19" s="359">
        <f>IF(O18-'BZP avec remb ant4,97 puis 5,5'!W79&gt;0,O18-'BZP avec remb ant4,97 puis 5,5'!W79,0)</f>
        <v>11457375.744398028</v>
      </c>
      <c r="M19" s="375">
        <f t="shared" si="9"/>
        <v>595783.53870869742</v>
      </c>
      <c r="N19" s="356">
        <f t="shared" si="10"/>
        <v>5133737.96</v>
      </c>
      <c r="O19" s="357">
        <f t="shared" si="1"/>
        <v>6323637.7843980277</v>
      </c>
    </row>
    <row r="20" spans="5:16" x14ac:dyDescent="0.2">
      <c r="E20" s="352"/>
      <c r="F20" s="376"/>
      <c r="G20" s="353">
        <f t="shared" si="2"/>
        <v>2028</v>
      </c>
      <c r="H20" s="354">
        <f t="shared" si="3"/>
        <v>37219600.210000068</v>
      </c>
      <c r="I20" s="354">
        <f>H20*'[1]BZP avec remb anticipé (4,97)'!$H$88</f>
        <v>1849814.1304370034</v>
      </c>
      <c r="J20" s="354">
        <f t="shared" si="7"/>
        <v>5133737.96</v>
      </c>
      <c r="K20" s="354">
        <f t="shared" si="0"/>
        <v>32085862.250000067</v>
      </c>
      <c r="L20" s="359">
        <f>IF(O19-'BZP avec remb ant4,97 puis 5,5'!X79&gt;0,O19-'BZP avec remb ant4,97 puis 5,5'!X79,0)</f>
        <v>3151867.0837679231</v>
      </c>
      <c r="M20" s="375">
        <f>L20*0.052</f>
        <v>163897.08835593198</v>
      </c>
      <c r="N20" s="356">
        <f>L20</f>
        <v>3151867.0837679231</v>
      </c>
      <c r="O20" s="357">
        <f t="shared" si="1"/>
        <v>0</v>
      </c>
    </row>
    <row r="21" spans="5:16" x14ac:dyDescent="0.2">
      <c r="E21" s="352"/>
      <c r="F21" s="376"/>
      <c r="G21" s="369">
        <f t="shared" si="2"/>
        <v>2029</v>
      </c>
      <c r="H21" s="370">
        <f t="shared" si="3"/>
        <v>32085862.250000067</v>
      </c>
      <c r="I21" s="370">
        <f>H21*'[1]BZP avec remb anticipé (4,97)'!$H$88</f>
        <v>1594667.3538250034</v>
      </c>
      <c r="J21" s="370">
        <f t="shared" si="7"/>
        <v>5133737.96</v>
      </c>
      <c r="K21" s="370">
        <f t="shared" si="0"/>
        <v>26952124.290000066</v>
      </c>
      <c r="L21" s="371">
        <f>IF(O20-'[1]BZP avec remb anticipé (4,97)'!Y78&gt;0,O20-'[1]BZP avec remb anticipé (4,97)'!Y78,0)</f>
        <v>0</v>
      </c>
      <c r="M21" s="356">
        <f>IF(L21&lt;&gt;"",L21*'[1]BZP avec remb anticipé (4,97)'!$H$88,"")</f>
        <v>0</v>
      </c>
      <c r="N21" s="356">
        <v>0</v>
      </c>
      <c r="O21" s="357">
        <v>0</v>
      </c>
      <c r="P21" s="373"/>
    </row>
    <row r="22" spans="5:16" x14ac:dyDescent="0.2">
      <c r="E22" s="352"/>
      <c r="F22" s="376"/>
      <c r="G22" s="353">
        <f t="shared" si="2"/>
        <v>2030</v>
      </c>
      <c r="H22" s="354">
        <f t="shared" si="3"/>
        <v>26952124.290000066</v>
      </c>
      <c r="I22" s="354">
        <f>H22*'[1]BZP avec remb anticipé (4,97)'!$H$88</f>
        <v>1339520.5772130033</v>
      </c>
      <c r="J22" s="354">
        <f t="shared" si="7"/>
        <v>5133737.96</v>
      </c>
      <c r="K22" s="354">
        <f t="shared" si="0"/>
        <v>21818386.330000065</v>
      </c>
      <c r="L22" s="359">
        <f>IF(O21-'[1]BZP avec remb anticipé (4,97)'!Z78&gt;0,O21-'[1]BZP avec remb anticipé (4,97)'!Z78,0)</f>
        <v>0</v>
      </c>
      <c r="M22" s="375">
        <f>IF(L22&lt;&gt;"",L22*'[1]BZP avec remb anticipé (4,97)'!$H$88,"")</f>
        <v>0</v>
      </c>
      <c r="N22" s="375">
        <f>L22</f>
        <v>0</v>
      </c>
      <c r="O22" s="357">
        <f t="shared" si="1"/>
        <v>0</v>
      </c>
    </row>
    <row r="23" spans="5:16" x14ac:dyDescent="0.2">
      <c r="E23" s="352"/>
      <c r="F23" s="376"/>
      <c r="G23" s="353">
        <f t="shared" si="2"/>
        <v>2031</v>
      </c>
      <c r="H23" s="354">
        <f t="shared" si="3"/>
        <v>21818386.330000065</v>
      </c>
      <c r="I23" s="354">
        <f>H23*'[1]BZP avec remb anticipé (4,97)'!$H$88</f>
        <v>1084373.8006010032</v>
      </c>
      <c r="J23" s="354">
        <f t="shared" si="7"/>
        <v>5133737.96</v>
      </c>
      <c r="K23" s="354">
        <f t="shared" si="0"/>
        <v>16684648.370000064</v>
      </c>
      <c r="L23" s="359">
        <f>IF(O22-'[1]BZP avec remb anticipé (4,97)'!AA78&gt;0,O22-'[1]BZP avec remb anticipé (4,97)'!AA78,0)</f>
        <v>0</v>
      </c>
      <c r="M23" s="375">
        <f>IF(L23&lt;&gt;"",L23*'[1]BZP avec remb anticipé (4,97)'!$H$88,"")</f>
        <v>0</v>
      </c>
      <c r="N23" s="375"/>
      <c r="O23" s="357">
        <f t="shared" si="1"/>
        <v>0</v>
      </c>
    </row>
    <row r="24" spans="5:16" x14ac:dyDescent="0.2">
      <c r="E24" s="352"/>
      <c r="F24" s="376"/>
      <c r="G24" s="353">
        <f t="shared" si="2"/>
        <v>2032</v>
      </c>
      <c r="H24" s="354">
        <f t="shared" si="3"/>
        <v>16684648.370000064</v>
      </c>
      <c r="I24" s="354">
        <f>H24*'[1]BZP avec remb anticipé (4,97)'!$H$88</f>
        <v>829227.02398900327</v>
      </c>
      <c r="J24" s="354">
        <f t="shared" si="7"/>
        <v>5133737.96</v>
      </c>
      <c r="K24" s="354">
        <f t="shared" si="0"/>
        <v>11550910.410000063</v>
      </c>
      <c r="L24" s="359">
        <f>IF(O23-'[1]BZP avec remb anticipé (4,97)'!AB78&gt;0,O23-'[1]BZP avec remb anticipé (4,97)'!AB78,0)</f>
        <v>0</v>
      </c>
      <c r="M24" s="375">
        <f>IF(L24&lt;&gt;"",L24*'[1]BZP avec remb anticipé (4,97)'!$H$88,"")</f>
        <v>0</v>
      </c>
      <c r="N24" s="375"/>
      <c r="O24" s="357">
        <f t="shared" si="1"/>
        <v>0</v>
      </c>
    </row>
    <row r="25" spans="5:16" x14ac:dyDescent="0.2">
      <c r="E25" s="352"/>
      <c r="F25" s="376"/>
      <c r="G25" s="353">
        <f t="shared" si="2"/>
        <v>2033</v>
      </c>
      <c r="H25" s="354">
        <f t="shared" si="3"/>
        <v>11550910.410000063</v>
      </c>
      <c r="I25" s="354">
        <f>H25*'[1]BZP avec remb anticipé (4,97)'!$H$88</f>
        <v>574080.24737700319</v>
      </c>
      <c r="J25" s="354">
        <f t="shared" si="7"/>
        <v>5133737.96</v>
      </c>
      <c r="K25" s="354">
        <f t="shared" si="0"/>
        <v>6417172.4500000635</v>
      </c>
      <c r="L25" s="359">
        <f>IF(O24-'[1]BZP avec remb anticipé (4,97)'!AC78&gt;0,O24-'[1]BZP avec remb anticipé (4,97)'!AC78,0)</f>
        <v>0</v>
      </c>
      <c r="M25" s="375">
        <f>IF(L25&lt;&gt;"",L25*'[1]BZP avec remb anticipé (4,97)'!$H$88,"")</f>
        <v>0</v>
      </c>
      <c r="N25" s="375"/>
      <c r="O25" s="357">
        <f t="shared" si="1"/>
        <v>0</v>
      </c>
    </row>
    <row r="26" spans="5:16" x14ac:dyDescent="0.2">
      <c r="E26" s="352"/>
      <c r="G26" s="353">
        <f t="shared" si="2"/>
        <v>2034</v>
      </c>
      <c r="H26" s="354">
        <f t="shared" si="3"/>
        <v>6417172.4500000635</v>
      </c>
      <c r="I26" s="354">
        <f>H26*'[1]BZP avec remb anticipé (4,97)'!$H$88</f>
        <v>318933.47076500318</v>
      </c>
      <c r="J26" s="354">
        <f t="shared" si="7"/>
        <v>5133737.96</v>
      </c>
      <c r="K26" s="354">
        <f t="shared" si="0"/>
        <v>1283434.4900000636</v>
      </c>
      <c r="L26" s="359">
        <f>IF(O25-'[1]BZP avec remb anticipé (4,97)'!AD78&gt;0,O25-'[1]BZP avec remb anticipé (4,97)'!AD78,0)</f>
        <v>0</v>
      </c>
      <c r="M26" s="375">
        <f>IF(L26&lt;&gt;"",L26*'[1]BZP avec remb anticipé (4,97)'!$H$88,"")</f>
        <v>0</v>
      </c>
      <c r="N26" s="375"/>
      <c r="O26" s="357"/>
    </row>
    <row r="27" spans="5:16" x14ac:dyDescent="0.2">
      <c r="G27" s="353">
        <f t="shared" si="2"/>
        <v>2035</v>
      </c>
      <c r="H27" s="354">
        <f t="shared" si="3"/>
        <v>1283434.4900000636</v>
      </c>
      <c r="I27" s="354">
        <f>H27*'[1]BZP avec remb anticipé (4,97)'!$H$88</f>
        <v>63786.694153003162</v>
      </c>
      <c r="J27" s="354">
        <f>H2/25*3/12</f>
        <v>1283434.49</v>
      </c>
      <c r="L27" s="359"/>
      <c r="M27" s="377"/>
      <c r="N27" s="377"/>
      <c r="O27" s="378"/>
    </row>
    <row r="28" spans="5:16" x14ac:dyDescent="0.2">
      <c r="I28" s="354">
        <f>SUM(I2:I27)</f>
        <v>82922702.398900062</v>
      </c>
      <c r="J28" s="354">
        <f>SUM(J2:J27)</f>
        <v>128343448.99999993</v>
      </c>
      <c r="L28" s="359"/>
      <c r="M28" s="380">
        <f>SUM(M2:M27)</f>
        <v>63721950.716251023</v>
      </c>
      <c r="N28" s="375">
        <f>SUM(N2:N27)</f>
        <v>94275715.873767897</v>
      </c>
      <c r="O28" s="378"/>
    </row>
    <row r="29" spans="5:16" x14ac:dyDescent="0.2">
      <c r="L29" s="359"/>
      <c r="M29" s="377"/>
      <c r="N29" s="381">
        <f>J28-N28</f>
        <v>34067733.126232028</v>
      </c>
      <c r="O29" s="378"/>
    </row>
    <row r="30" spans="5:16" x14ac:dyDescent="0.2">
      <c r="L30" s="359"/>
      <c r="M30" s="377"/>
      <c r="N30" s="382">
        <f>N28+N29</f>
        <v>128343448.99999993</v>
      </c>
      <c r="O30" s="378"/>
    </row>
    <row r="31" spans="5:16" x14ac:dyDescent="0.2">
      <c r="L31" s="359"/>
      <c r="M31" s="383">
        <f>I28-M28</f>
        <v>19200751.682649039</v>
      </c>
      <c r="N31" s="377"/>
      <c r="O31" s="378"/>
    </row>
    <row r="32" spans="5:16" ht="13.5" thickBot="1" x14ac:dyDescent="0.25">
      <c r="J32" s="354">
        <f>J28+I28</f>
        <v>211266151.39889997</v>
      </c>
      <c r="L32" s="384"/>
      <c r="M32" s="385">
        <f>M28+N30</f>
        <v>192065399.71625096</v>
      </c>
      <c r="N32" s="386"/>
      <c r="O32" s="387"/>
    </row>
    <row r="33" ht="13.5" thickTop="1" x14ac:dyDescent="0.2"/>
  </sheetData>
  <printOptions horizontalCentered="1"/>
  <pageMargins left="0.2" right="0.19" top="0.47244094488188981" bottom="0.35" header="0.23622047244094491" footer="0.18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3</vt:i4>
      </vt:variant>
    </vt:vector>
  </HeadingPairs>
  <TitlesOfParts>
    <vt:vector size="10" baseType="lpstr">
      <vt:lpstr>Conso Séolis</vt:lpstr>
      <vt:lpstr>Pré valo Séolis</vt:lpstr>
      <vt:lpstr>Conso Sorégies</vt:lpstr>
      <vt:lpstr>Social Sorégies</vt:lpstr>
      <vt:lpstr>Pré valo Sorégies</vt:lpstr>
      <vt:lpstr>BZP avec remb ant4,97 puis 5,5</vt:lpstr>
      <vt:lpstr>emprunt bzp2 (4,97)</vt:lpstr>
      <vt:lpstr>'BZP avec remb ant4,97 puis 5,5'!Impression_des_titres</vt:lpstr>
      <vt:lpstr>'BZP avec remb ant4,97 puis 5,5'!Zone_d_impression</vt:lpstr>
      <vt:lpstr>'emprunt bzp2 (4,97)'!Zone_d_impression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</dc:creator>
  <cp:lastModifiedBy>Frederic Vigier</cp:lastModifiedBy>
  <cp:lastPrinted>2011-03-18T12:46:02Z</cp:lastPrinted>
  <dcterms:created xsi:type="dcterms:W3CDTF">2010-04-26T19:18:17Z</dcterms:created>
  <dcterms:modified xsi:type="dcterms:W3CDTF">2011-03-18T12:53:24Z</dcterms:modified>
</cp:coreProperties>
</file>