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U66" i="1"/>
  <c r="T66"/>
  <c r="S66"/>
  <c r="R66"/>
  <c r="Q66"/>
  <c r="P66"/>
  <c r="O66"/>
  <c r="N66"/>
  <c r="M66"/>
  <c r="L66"/>
  <c r="K66"/>
  <c r="J66"/>
  <c r="I66"/>
  <c r="H66"/>
  <c r="G66"/>
  <c r="U11"/>
  <c r="T11"/>
  <c r="S11"/>
  <c r="R11"/>
  <c r="Q11"/>
  <c r="P11"/>
  <c r="O11"/>
  <c r="N11"/>
  <c r="M11"/>
  <c r="L11"/>
  <c r="K11"/>
  <c r="J11"/>
  <c r="I11"/>
  <c r="H11"/>
  <c r="G11"/>
  <c r="U63"/>
  <c r="T63"/>
  <c r="S63"/>
  <c r="R63"/>
  <c r="Q63"/>
  <c r="Q64" s="1"/>
  <c r="P63"/>
  <c r="P64" s="1"/>
  <c r="O63"/>
  <c r="N63"/>
  <c r="M63"/>
  <c r="L63"/>
  <c r="K63"/>
  <c r="J63"/>
  <c r="U61"/>
  <c r="T61"/>
  <c r="S61"/>
  <c r="R61"/>
  <c r="Q61"/>
  <c r="P61"/>
  <c r="O61"/>
  <c r="N61"/>
  <c r="M61"/>
  <c r="L61"/>
  <c r="K61"/>
  <c r="J61"/>
  <c r="U58"/>
  <c r="T58"/>
  <c r="S58"/>
  <c r="R58"/>
  <c r="Q58"/>
  <c r="P58"/>
  <c r="O58"/>
  <c r="N58"/>
  <c r="M58"/>
  <c r="L58"/>
  <c r="K58"/>
  <c r="J58"/>
  <c r="U57"/>
  <c r="T57"/>
  <c r="S57"/>
  <c r="R57"/>
  <c r="Q57"/>
  <c r="P57"/>
  <c r="O57"/>
  <c r="N57"/>
  <c r="M57"/>
  <c r="L57"/>
  <c r="K57"/>
  <c r="J57"/>
  <c r="U54"/>
  <c r="U55" s="1"/>
  <c r="T54"/>
  <c r="T55" s="1"/>
  <c r="S54"/>
  <c r="S55" s="1"/>
  <c r="R54"/>
  <c r="R55" s="1"/>
  <c r="Q54"/>
  <c r="Q55" s="1"/>
  <c r="P54"/>
  <c r="P55" s="1"/>
  <c r="O54"/>
  <c r="O55" s="1"/>
  <c r="N54"/>
  <c r="N55" s="1"/>
  <c r="M54"/>
  <c r="M55" s="1"/>
  <c r="L54"/>
  <c r="L55" s="1"/>
  <c r="K54"/>
  <c r="K55" s="1"/>
  <c r="J54"/>
  <c r="J55" s="1"/>
  <c r="U51"/>
  <c r="U52" s="1"/>
  <c r="T51"/>
  <c r="T52" s="1"/>
  <c r="S51"/>
  <c r="S52" s="1"/>
  <c r="R51"/>
  <c r="R52" s="1"/>
  <c r="Q51"/>
  <c r="Q52" s="1"/>
  <c r="P51"/>
  <c r="P52" s="1"/>
  <c r="O51"/>
  <c r="O52" s="1"/>
  <c r="N51"/>
  <c r="N52" s="1"/>
  <c r="M51"/>
  <c r="M52" s="1"/>
  <c r="L51"/>
  <c r="L52" s="1"/>
  <c r="K51"/>
  <c r="K52" s="1"/>
  <c r="J51"/>
  <c r="J52" s="1"/>
  <c r="U48"/>
  <c r="T48"/>
  <c r="S48"/>
  <c r="R48"/>
  <c r="Q48"/>
  <c r="P48"/>
  <c r="O48"/>
  <c r="N48"/>
  <c r="M48"/>
  <c r="L48"/>
  <c r="K48"/>
  <c r="J48"/>
  <c r="U47"/>
  <c r="T47"/>
  <c r="S47"/>
  <c r="R47"/>
  <c r="Q47"/>
  <c r="P47"/>
  <c r="O47"/>
  <c r="N47"/>
  <c r="M47"/>
  <c r="L47"/>
  <c r="K47"/>
  <c r="J47"/>
  <c r="U46"/>
  <c r="U49" s="1"/>
  <c r="U59" s="1"/>
  <c r="T46"/>
  <c r="T49" s="1"/>
  <c r="T59" s="1"/>
  <c r="S46"/>
  <c r="S49" s="1"/>
  <c r="S59" s="1"/>
  <c r="R46"/>
  <c r="R49" s="1"/>
  <c r="R59" s="1"/>
  <c r="Q46"/>
  <c r="Q49" s="1"/>
  <c r="Q59" s="1"/>
  <c r="P46"/>
  <c r="P49" s="1"/>
  <c r="P59" s="1"/>
  <c r="O46"/>
  <c r="O49" s="1"/>
  <c r="O59" s="1"/>
  <c r="N46"/>
  <c r="N49" s="1"/>
  <c r="N59" s="1"/>
  <c r="M46"/>
  <c r="M49" s="1"/>
  <c r="M59" s="1"/>
  <c r="L46"/>
  <c r="L49" s="1"/>
  <c r="L59" s="1"/>
  <c r="K46"/>
  <c r="K49" s="1"/>
  <c r="K59" s="1"/>
  <c r="J46"/>
  <c r="J49" s="1"/>
  <c r="P42"/>
  <c r="U41"/>
  <c r="U42" s="1"/>
  <c r="T41"/>
  <c r="T42" s="1"/>
  <c r="S41"/>
  <c r="S42" s="1"/>
  <c r="R41"/>
  <c r="R42" s="1"/>
  <c r="Q41"/>
  <c r="Q42" s="1"/>
  <c r="P41"/>
  <c r="O41"/>
  <c r="O42" s="1"/>
  <c r="N41"/>
  <c r="N42" s="1"/>
  <c r="M41"/>
  <c r="M42" s="1"/>
  <c r="L41"/>
  <c r="L42" s="1"/>
  <c r="K41"/>
  <c r="K42" s="1"/>
  <c r="M37"/>
  <c r="N37" s="1"/>
  <c r="O37" s="1"/>
  <c r="P37" s="1"/>
  <c r="Q37" s="1"/>
  <c r="R37" s="1"/>
  <c r="S37" s="1"/>
  <c r="T37" s="1"/>
  <c r="U37" s="1"/>
  <c r="L37"/>
  <c r="K37"/>
  <c r="J37"/>
  <c r="M36"/>
  <c r="N36" s="1"/>
  <c r="O36" s="1"/>
  <c r="P36" s="1"/>
  <c r="Q36" s="1"/>
  <c r="R36" s="1"/>
  <c r="S36" s="1"/>
  <c r="T36" s="1"/>
  <c r="U36" s="1"/>
  <c r="L36"/>
  <c r="K36"/>
  <c r="L35"/>
  <c r="M35" s="1"/>
  <c r="N35" s="1"/>
  <c r="O35" s="1"/>
  <c r="P35" s="1"/>
  <c r="Q35" s="1"/>
  <c r="R35" s="1"/>
  <c r="S35" s="1"/>
  <c r="T35" s="1"/>
  <c r="U35" s="1"/>
  <c r="K35"/>
  <c r="U34"/>
  <c r="U33" s="1"/>
  <c r="T34"/>
  <c r="S34"/>
  <c r="R34"/>
  <c r="Q34"/>
  <c r="Q33" s="1"/>
  <c r="P34"/>
  <c r="O34"/>
  <c r="N34"/>
  <c r="N33" s="1"/>
  <c r="M34"/>
  <c r="M33" s="1"/>
  <c r="L34"/>
  <c r="K34"/>
  <c r="T33"/>
  <c r="S33"/>
  <c r="R33"/>
  <c r="P33"/>
  <c r="O33"/>
  <c r="L33"/>
  <c r="K33"/>
  <c r="L32"/>
  <c r="M32" s="1"/>
  <c r="N32" s="1"/>
  <c r="O32" s="1"/>
  <c r="P32" s="1"/>
  <c r="Q32" s="1"/>
  <c r="R32" s="1"/>
  <c r="S32" s="1"/>
  <c r="T32" s="1"/>
  <c r="U32" s="1"/>
  <c r="K32"/>
  <c r="K31"/>
  <c r="L31" s="1"/>
  <c r="M31" s="1"/>
  <c r="N31" s="1"/>
  <c r="O31" s="1"/>
  <c r="P31" s="1"/>
  <c r="Q31" s="1"/>
  <c r="R31" s="1"/>
  <c r="S31" s="1"/>
  <c r="T31" s="1"/>
  <c r="U31" s="1"/>
  <c r="N30"/>
  <c r="O30" s="1"/>
  <c r="P30" s="1"/>
  <c r="Q30" s="1"/>
  <c r="R30" s="1"/>
  <c r="S30" s="1"/>
  <c r="T30" s="1"/>
  <c r="U30" s="1"/>
  <c r="M30"/>
  <c r="L30"/>
  <c r="K30"/>
  <c r="K29"/>
  <c r="L29" s="1"/>
  <c r="M29" s="1"/>
  <c r="N29" s="1"/>
  <c r="O29" s="1"/>
  <c r="P29" s="1"/>
  <c r="Q29" s="1"/>
  <c r="R29" s="1"/>
  <c r="S29" s="1"/>
  <c r="T29" s="1"/>
  <c r="U29" s="1"/>
  <c r="K28"/>
  <c r="L28" s="1"/>
  <c r="M28" s="1"/>
  <c r="N28" s="1"/>
  <c r="O28" s="1"/>
  <c r="P28" s="1"/>
  <c r="Q28" s="1"/>
  <c r="R28" s="1"/>
  <c r="S28" s="1"/>
  <c r="T28" s="1"/>
  <c r="U28" s="1"/>
  <c r="L26"/>
  <c r="M26" s="1"/>
  <c r="N26" s="1"/>
  <c r="O26" s="1"/>
  <c r="P26" s="1"/>
  <c r="Q26" s="1"/>
  <c r="R26" s="1"/>
  <c r="S26" s="1"/>
  <c r="T26" s="1"/>
  <c r="U26" s="1"/>
  <c r="K26"/>
  <c r="K25"/>
  <c r="L25" s="1"/>
  <c r="M25" s="1"/>
  <c r="N25" s="1"/>
  <c r="O25" s="1"/>
  <c r="P25" s="1"/>
  <c r="Q25" s="1"/>
  <c r="R25" s="1"/>
  <c r="S25" s="1"/>
  <c r="T25" s="1"/>
  <c r="U25" s="1"/>
  <c r="M24"/>
  <c r="N24" s="1"/>
  <c r="O24" s="1"/>
  <c r="P24" s="1"/>
  <c r="Q24" s="1"/>
  <c r="R24" s="1"/>
  <c r="S24" s="1"/>
  <c r="T24" s="1"/>
  <c r="U24" s="1"/>
  <c r="L24"/>
  <c r="K24"/>
  <c r="L23"/>
  <c r="M23" s="1"/>
  <c r="N23" s="1"/>
  <c r="O23" s="1"/>
  <c r="P23" s="1"/>
  <c r="Q23" s="1"/>
  <c r="R23" s="1"/>
  <c r="S23" s="1"/>
  <c r="T23" s="1"/>
  <c r="U23" s="1"/>
  <c r="K23"/>
  <c r="E213"/>
  <c r="BB189"/>
  <c r="BB185" s="1"/>
  <c r="J189"/>
  <c r="BB188"/>
  <c r="J188"/>
  <c r="BB187"/>
  <c r="J187"/>
  <c r="BB186"/>
  <c r="J186"/>
  <c r="BB183"/>
  <c r="J183"/>
  <c r="BB182"/>
  <c r="J182"/>
  <c r="BB181"/>
  <c r="BB184" s="1"/>
  <c r="BB179"/>
  <c r="BB178"/>
  <c r="J178"/>
  <c r="BB177"/>
  <c r="J177"/>
  <c r="BB176"/>
  <c r="BB175"/>
  <c r="BB173"/>
  <c r="J173"/>
  <c r="BB172"/>
  <c r="J172"/>
  <c r="BB171"/>
  <c r="BB174" s="1"/>
  <c r="BK164"/>
  <c r="BB164"/>
  <c r="J164"/>
  <c r="BK163"/>
  <c r="BJ163"/>
  <c r="I163"/>
  <c r="H163"/>
  <c r="BH163" s="1"/>
  <c r="G163"/>
  <c r="BG163" s="1"/>
  <c r="BK162"/>
  <c r="BJ162"/>
  <c r="BI162"/>
  <c r="BH162"/>
  <c r="BG162"/>
  <c r="BK160"/>
  <c r="BJ160"/>
  <c r="BI160"/>
  <c r="BH160"/>
  <c r="BG160"/>
  <c r="BK158"/>
  <c r="BJ158"/>
  <c r="BK157"/>
  <c r="BJ157"/>
  <c r="BK154"/>
  <c r="BJ154"/>
  <c r="BK153"/>
  <c r="BJ153"/>
  <c r="BK151"/>
  <c r="BJ151"/>
  <c r="I150"/>
  <c r="I151" s="1"/>
  <c r="H150"/>
  <c r="H151" s="1"/>
  <c r="G150"/>
  <c r="G151" s="1"/>
  <c r="G178" s="1"/>
  <c r="BK148"/>
  <c r="BJ148"/>
  <c r="BK145"/>
  <c r="BJ145"/>
  <c r="G145"/>
  <c r="G141"/>
  <c r="I140"/>
  <c r="I141" s="1"/>
  <c r="H140"/>
  <c r="H141" s="1"/>
  <c r="H157" s="1"/>
  <c r="H136"/>
  <c r="I136" s="1"/>
  <c r="H135"/>
  <c r="H132"/>
  <c r="I132" s="1"/>
  <c r="J132" s="1"/>
  <c r="BB132" s="1"/>
  <c r="H131"/>
  <c r="I131" s="1"/>
  <c r="J131" s="1"/>
  <c r="BB131" s="1"/>
  <c r="H130"/>
  <c r="I130" s="1"/>
  <c r="J130" s="1"/>
  <c r="BB130" s="1"/>
  <c r="BF128"/>
  <c r="BF129" s="1"/>
  <c r="G126"/>
  <c r="H125"/>
  <c r="I125" s="1"/>
  <c r="BE123"/>
  <c r="BE124" s="1"/>
  <c r="BE125" s="1"/>
  <c r="BB115"/>
  <c r="J115"/>
  <c r="BJ164" s="1"/>
  <c r="BK114"/>
  <c r="I114"/>
  <c r="BI163" s="1"/>
  <c r="H114"/>
  <c r="G114"/>
  <c r="BK113"/>
  <c r="BJ113"/>
  <c r="BK111"/>
  <c r="BJ111"/>
  <c r="BK109"/>
  <c r="BK108"/>
  <c r="BJ108"/>
  <c r="BK107"/>
  <c r="BJ107"/>
  <c r="BK105"/>
  <c r="BK104"/>
  <c r="BJ104"/>
  <c r="BK102"/>
  <c r="BK101"/>
  <c r="BJ101"/>
  <c r="G101"/>
  <c r="G102" s="1"/>
  <c r="BK99"/>
  <c r="BK96"/>
  <c r="BJ96"/>
  <c r="G96"/>
  <c r="BG145" s="1"/>
  <c r="G92"/>
  <c r="G107" s="1"/>
  <c r="H91"/>
  <c r="H92" s="1"/>
  <c r="H88"/>
  <c r="I88" s="1"/>
  <c r="I87"/>
  <c r="H87"/>
  <c r="I86"/>
  <c r="J86" s="1"/>
  <c r="BB86" s="1"/>
  <c r="H86"/>
  <c r="H85"/>
  <c r="I85" s="1"/>
  <c r="J85" s="1"/>
  <c r="BB85" s="1"/>
  <c r="BB84"/>
  <c r="BB83" s="1"/>
  <c r="J84"/>
  <c r="J83" s="1"/>
  <c r="I84"/>
  <c r="I83" s="1"/>
  <c r="H84"/>
  <c r="H83" s="1"/>
  <c r="G83"/>
  <c r="H82"/>
  <c r="I82" s="1"/>
  <c r="J82" s="1"/>
  <c r="BB82" s="1"/>
  <c r="H81"/>
  <c r="I81" s="1"/>
  <c r="J81" s="1"/>
  <c r="BB81" s="1"/>
  <c r="H80"/>
  <c r="I80" s="1"/>
  <c r="J80" s="1"/>
  <c r="BB80" s="1"/>
  <c r="H79"/>
  <c r="I79" s="1"/>
  <c r="J79" s="1"/>
  <c r="BB79" s="1"/>
  <c r="H78"/>
  <c r="I78" s="1"/>
  <c r="H76"/>
  <c r="I76" s="1"/>
  <c r="J76" s="1"/>
  <c r="BB76" s="1"/>
  <c r="H75"/>
  <c r="I75" s="1"/>
  <c r="J75" s="1"/>
  <c r="BB75" s="1"/>
  <c r="H74"/>
  <c r="I74" s="1"/>
  <c r="H73"/>
  <c r="I73" s="1"/>
  <c r="BB65"/>
  <c r="BK115" s="1"/>
  <c r="G63"/>
  <c r="BG113" s="1"/>
  <c r="G52"/>
  <c r="G176" s="1"/>
  <c r="G51"/>
  <c r="G48"/>
  <c r="G47"/>
  <c r="G46"/>
  <c r="BG96" s="1"/>
  <c r="BB41"/>
  <c r="J41"/>
  <c r="J42" s="1"/>
  <c r="I41"/>
  <c r="I42" s="1"/>
  <c r="H41"/>
  <c r="H42" s="1"/>
  <c r="G41"/>
  <c r="G42" s="1"/>
  <c r="H38"/>
  <c r="I38" s="1"/>
  <c r="J38" s="1"/>
  <c r="BB38" s="1"/>
  <c r="H37"/>
  <c r="I37" s="1"/>
  <c r="I63" s="1"/>
  <c r="H36"/>
  <c r="H35"/>
  <c r="I35" s="1"/>
  <c r="J35" s="1"/>
  <c r="BB35" s="1"/>
  <c r="BB34"/>
  <c r="BB33" s="1"/>
  <c r="J34"/>
  <c r="J33" s="1"/>
  <c r="I34"/>
  <c r="H34"/>
  <c r="H33" s="1"/>
  <c r="I33"/>
  <c r="G33"/>
  <c r="G61" s="1"/>
  <c r="H32"/>
  <c r="I32" s="1"/>
  <c r="J32" s="1"/>
  <c r="BB32" s="1"/>
  <c r="I31"/>
  <c r="J31" s="1"/>
  <c r="BB31" s="1"/>
  <c r="H31"/>
  <c r="H30"/>
  <c r="I30" s="1"/>
  <c r="H29"/>
  <c r="I29" s="1"/>
  <c r="J29" s="1"/>
  <c r="BB29" s="1"/>
  <c r="I28"/>
  <c r="J28" s="1"/>
  <c r="BB28" s="1"/>
  <c r="H28"/>
  <c r="H26"/>
  <c r="H25"/>
  <c r="I25" s="1"/>
  <c r="J25" s="1"/>
  <c r="BB25" s="1"/>
  <c r="H24"/>
  <c r="I24" s="1"/>
  <c r="J24" s="1"/>
  <c r="BB24" s="1"/>
  <c r="I23"/>
  <c r="J23" s="1"/>
  <c r="BB23" s="1"/>
  <c r="H23"/>
  <c r="P65" l="1"/>
  <c r="L65"/>
  <c r="T65"/>
  <c r="K65"/>
  <c r="S65"/>
  <c r="Q65"/>
  <c r="M65"/>
  <c r="U65"/>
  <c r="J59"/>
  <c r="BJ109" s="1"/>
  <c r="J171"/>
  <c r="J174" s="1"/>
  <c r="BJ99"/>
  <c r="J176"/>
  <c r="BJ102"/>
  <c r="BJ105"/>
  <c r="J181"/>
  <c r="J184" s="1"/>
  <c r="O65"/>
  <c r="J65"/>
  <c r="BJ115" s="1"/>
  <c r="N65"/>
  <c r="R65"/>
  <c r="M64"/>
  <c r="U64"/>
  <c r="L64"/>
  <c r="T64"/>
  <c r="J185"/>
  <c r="K64"/>
  <c r="O64"/>
  <c r="S64"/>
  <c r="J64"/>
  <c r="BJ114" s="1"/>
  <c r="N64"/>
  <c r="R64"/>
  <c r="G57"/>
  <c r="BG107" s="1"/>
  <c r="G54"/>
  <c r="BG104" s="1"/>
  <c r="I61"/>
  <c r="BI111" s="1"/>
  <c r="H54"/>
  <c r="H46"/>
  <c r="H49" s="1"/>
  <c r="H101"/>
  <c r="H102" s="1"/>
  <c r="H177" s="1"/>
  <c r="H153"/>
  <c r="H154" s="1"/>
  <c r="G148"/>
  <c r="H61"/>
  <c r="BH111" s="1"/>
  <c r="BG101"/>
  <c r="H58"/>
  <c r="H186" s="1"/>
  <c r="I26"/>
  <c r="J26" s="1"/>
  <c r="BB26" s="1"/>
  <c r="BF25" s="1"/>
  <c r="H96"/>
  <c r="H198"/>
  <c r="H199" s="1"/>
  <c r="H189" s="1"/>
  <c r="H145"/>
  <c r="H148" s="1"/>
  <c r="H51"/>
  <c r="H52" s="1"/>
  <c r="H126"/>
  <c r="BI113"/>
  <c r="I64"/>
  <c r="BI114" s="1"/>
  <c r="J73"/>
  <c r="BB73" s="1"/>
  <c r="J78"/>
  <c r="BB78" s="1"/>
  <c r="I101"/>
  <c r="I102" s="1"/>
  <c r="I177" s="1"/>
  <c r="J88"/>
  <c r="BB88" s="1"/>
  <c r="H188"/>
  <c r="H178"/>
  <c r="G64"/>
  <c r="BG114" s="1"/>
  <c r="BG111"/>
  <c r="H55"/>
  <c r="G179"/>
  <c r="J125"/>
  <c r="I145"/>
  <c r="I126"/>
  <c r="H183"/>
  <c r="G173"/>
  <c r="I57"/>
  <c r="I157"/>
  <c r="I148"/>
  <c r="BH101"/>
  <c r="I96"/>
  <c r="J74"/>
  <c r="BB74" s="1"/>
  <c r="H104"/>
  <c r="H107"/>
  <c r="BG151"/>
  <c r="G177"/>
  <c r="BI151"/>
  <c r="I178"/>
  <c r="I51"/>
  <c r="H108"/>
  <c r="H187" s="1"/>
  <c r="G49"/>
  <c r="H57"/>
  <c r="H63"/>
  <c r="G108"/>
  <c r="G187" s="1"/>
  <c r="G198"/>
  <c r="G199" s="1"/>
  <c r="G189" s="1"/>
  <c r="J30"/>
  <c r="BB30" s="1"/>
  <c r="I36"/>
  <c r="H48"/>
  <c r="G58"/>
  <c r="I91"/>
  <c r="J140"/>
  <c r="BB140" s="1"/>
  <c r="G153"/>
  <c r="G154" s="1"/>
  <c r="G157"/>
  <c r="I198"/>
  <c r="I199" s="1"/>
  <c r="I189" s="1"/>
  <c r="I47"/>
  <c r="G55"/>
  <c r="G99"/>
  <c r="G104"/>
  <c r="H47"/>
  <c r="BG102"/>
  <c r="I135"/>
  <c r="BB170"/>
  <c r="BB190" s="1"/>
  <c r="BB180"/>
  <c r="J180" l="1"/>
  <c r="J175"/>
  <c r="J179"/>
  <c r="J170"/>
  <c r="F178"/>
  <c r="I46"/>
  <c r="I49" s="1"/>
  <c r="BH157"/>
  <c r="BH96"/>
  <c r="F177"/>
  <c r="I48"/>
  <c r="I58"/>
  <c r="I186" s="1"/>
  <c r="BH151"/>
  <c r="H99"/>
  <c r="BH148" s="1"/>
  <c r="BH107"/>
  <c r="BH145"/>
  <c r="G172"/>
  <c r="G109"/>
  <c r="BG99"/>
  <c r="G171"/>
  <c r="G59"/>
  <c r="H158"/>
  <c r="H173"/>
  <c r="BH99"/>
  <c r="H171"/>
  <c r="H59"/>
  <c r="H105"/>
  <c r="BH105" s="1"/>
  <c r="BH153"/>
  <c r="H176"/>
  <c r="BH102"/>
  <c r="J126"/>
  <c r="BB125"/>
  <c r="BB126" s="1"/>
  <c r="G188"/>
  <c r="BG157"/>
  <c r="G186"/>
  <c r="BG108"/>
  <c r="BI101"/>
  <c r="I52"/>
  <c r="I188"/>
  <c r="BG148"/>
  <c r="BH104"/>
  <c r="F189"/>
  <c r="BH108"/>
  <c r="H164"/>
  <c r="BI145"/>
  <c r="J135"/>
  <c r="BB135" s="1"/>
  <c r="I153"/>
  <c r="I154" s="1"/>
  <c r="I54"/>
  <c r="J36"/>
  <c r="BB36" s="1"/>
  <c r="H181"/>
  <c r="G105"/>
  <c r="BG153"/>
  <c r="G183"/>
  <c r="BG154"/>
  <c r="G164"/>
  <c r="BG105"/>
  <c r="G181"/>
  <c r="I92"/>
  <c r="J91"/>
  <c r="BB91" s="1"/>
  <c r="H64"/>
  <c r="BH114" s="1"/>
  <c r="BH113"/>
  <c r="H65"/>
  <c r="I173"/>
  <c r="I158"/>
  <c r="H185"/>
  <c r="G158"/>
  <c r="G175"/>
  <c r="G65"/>
  <c r="J190" l="1"/>
  <c r="F173"/>
  <c r="F188"/>
  <c r="BG109"/>
  <c r="BI96"/>
  <c r="H172"/>
  <c r="H109"/>
  <c r="BH109" s="1"/>
  <c r="G184"/>
  <c r="I176"/>
  <c r="F176" s="1"/>
  <c r="BI102"/>
  <c r="I99"/>
  <c r="BI99" s="1"/>
  <c r="I107"/>
  <c r="BI107" s="1"/>
  <c r="I104"/>
  <c r="BI104" s="1"/>
  <c r="I108"/>
  <c r="I183"/>
  <c r="F183" s="1"/>
  <c r="I164"/>
  <c r="H179"/>
  <c r="H175" s="1"/>
  <c r="H174"/>
  <c r="H170" s="1"/>
  <c r="G182"/>
  <c r="G115"/>
  <c r="BG164" s="1"/>
  <c r="I55"/>
  <c r="I59" s="1"/>
  <c r="BG158"/>
  <c r="H184"/>
  <c r="I171"/>
  <c r="F171" s="1"/>
  <c r="G185"/>
  <c r="F186"/>
  <c r="H115"/>
  <c r="BH164" s="1"/>
  <c r="H182"/>
  <c r="BH154"/>
  <c r="G174"/>
  <c r="G170" s="1"/>
  <c r="BG115"/>
  <c r="BH158" l="1"/>
  <c r="H180"/>
  <c r="H190"/>
  <c r="I187"/>
  <c r="BI108"/>
  <c r="BI157"/>
  <c r="I172"/>
  <c r="F172" s="1"/>
  <c r="BI148"/>
  <c r="G190"/>
  <c r="BH115"/>
  <c r="G180"/>
  <c r="I174"/>
  <c r="F174" s="1"/>
  <c r="I181"/>
  <c r="I65"/>
  <c r="BI153"/>
  <c r="I105"/>
  <c r="I179"/>
  <c r="I175" s="1"/>
  <c r="F175" s="1"/>
  <c r="F179" l="1"/>
  <c r="I184"/>
  <c r="F184" s="1"/>
  <c r="F181"/>
  <c r="F187"/>
  <c r="I185"/>
  <c r="I115"/>
  <c r="BI164" s="1"/>
  <c r="I182"/>
  <c r="F182" s="1"/>
  <c r="BI154"/>
  <c r="BI105"/>
  <c r="I109"/>
  <c r="I170"/>
  <c r="F170" s="1"/>
  <c r="BI115" l="1"/>
  <c r="I190"/>
  <c r="F185"/>
  <c r="F190" s="1"/>
  <c r="BI158"/>
  <c r="BI109"/>
  <c r="I180"/>
  <c r="F180" s="1"/>
</calcChain>
</file>

<file path=xl/comments1.xml><?xml version="1.0" encoding="utf-8"?>
<comments xmlns="http://schemas.openxmlformats.org/spreadsheetml/2006/main">
  <authors>
    <author>AHS</author>
    <author>a27034</author>
  </authors>
  <commentList>
    <comment ref="J2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Evoluciona segun I</t>
        </r>
      </text>
    </comment>
    <comment ref="E37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From Avenant 3</t>
        </r>
      </text>
    </comment>
    <comment ref="E38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From Avenant 3
</t>
        </r>
      </text>
    </comment>
    <comment ref="J3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Incluir spread?</t>
        </r>
      </text>
    </comment>
    <comment ref="D45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CE +(Rdegradation x Cs) x Ppgaz x [ 1 + Fsurcout x (Rdefaillance + Recart)]</t>
        </r>
      </text>
    </comment>
    <comment ref="D50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RPFIn x (A x Ppgaz +B)</t>
        </r>
      </text>
    </comment>
    <comment ref="D53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(Rdegradation x Rco2) * (1 - R defaillance) * appel
</t>
        </r>
      </text>
    </comment>
    <comment ref="E57" authorId="1">
      <text>
        <r>
          <rPr>
            <b/>
            <sz val="8"/>
            <color indexed="10"/>
            <rFont val="Tahoma"/>
            <family val="2"/>
          </rPr>
          <t>a27034:</t>
        </r>
        <r>
          <rPr>
            <sz val="8"/>
            <color indexed="10"/>
            <rFont val="Tahoma"/>
            <family val="2"/>
          </rPr>
          <t xml:space="preserve">
Avenant 3 V5
0,45 Inlues dans la formule du strike</t>
        </r>
      </text>
    </comment>
    <comment ref="D60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PFEo x RPFIn x (X Wn-1/Wo+ Y In-1/Io)</t>
        </r>
      </text>
    </comment>
    <comment ref="G88" authorId="1">
      <text>
        <r>
          <rPr>
            <b/>
            <sz val="8"/>
            <color indexed="10"/>
            <rFont val="Tahoma"/>
            <family val="2"/>
          </rPr>
          <t>a27034:</t>
        </r>
        <r>
          <rPr>
            <sz val="8"/>
            <color indexed="10"/>
            <rFont val="Tahoma"/>
            <family val="2"/>
          </rPr>
          <t xml:space="preserve">
Dans la version analisé il n'y a pas de paiment pour liquidité</t>
        </r>
      </text>
    </comment>
    <comment ref="D95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CE +(Rdegradation x Ppgaz x 2,081)</t>
        </r>
      </text>
    </comment>
    <comment ref="D100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RPFIn x (A x Ppgaz +B)</t>
        </r>
      </text>
    </comment>
    <comment ref="D103" authorId="1">
      <text>
        <r>
          <rPr>
            <b/>
            <sz val="8"/>
            <color indexed="10"/>
            <rFont val="Tahoma"/>
            <family val="2"/>
          </rPr>
          <t>a27034:</t>
        </r>
        <r>
          <rPr>
            <sz val="8"/>
            <color indexed="10"/>
            <rFont val="Tahoma"/>
            <family val="2"/>
          </rPr>
          <t xml:space="preserve">
(Rdegradation x Rco2) * (1 - R defaillance) * appel
</t>
        </r>
      </text>
    </comment>
    <comment ref="E107" authorId="1">
      <text>
        <r>
          <rPr>
            <b/>
            <sz val="8"/>
            <color indexed="10"/>
            <rFont val="Tahoma"/>
            <family val="2"/>
          </rPr>
          <t>a27034:</t>
        </r>
        <r>
          <rPr>
            <sz val="8"/>
            <color indexed="10"/>
            <rFont val="Tahoma"/>
            <family val="2"/>
          </rPr>
          <t xml:space="preserve">
0,45 Inlues dans la formule du strike</t>
        </r>
      </text>
    </comment>
    <comment ref="D144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CE +(Rdegradation x Ppgaz x 2,081)</t>
        </r>
      </text>
    </comment>
    <comment ref="D149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3044,19+287,88*ppgaz+54,93*pco2
</t>
        </r>
      </text>
    </comment>
    <comment ref="D152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Rco2 x Appel
</t>
        </r>
      </text>
    </comment>
    <comment ref="E156" authorId="1">
      <text>
        <r>
          <rPr>
            <b/>
            <sz val="8"/>
            <color indexed="10"/>
            <rFont val="Tahoma"/>
            <family val="2"/>
          </rPr>
          <t xml:space="preserve">0,45 Inlues dans la formule du strike
</t>
        </r>
      </text>
    </comment>
  </commentList>
</comments>
</file>

<file path=xl/sharedStrings.xml><?xml version="1.0" encoding="utf-8"?>
<sst xmlns="http://schemas.openxmlformats.org/spreadsheetml/2006/main" count="302" uniqueCount="111">
  <si>
    <t>v3</t>
  </si>
  <si>
    <t>Start-Up</t>
  </si>
  <si>
    <t>Nb Heure</t>
  </si>
  <si>
    <t>CO2 (€/t)</t>
  </si>
  <si>
    <t>Pgaz (€/MWhPCS)</t>
  </si>
  <si>
    <t>Comparison Main Contract- Call Option - Back to Back</t>
  </si>
  <si>
    <t>Variables de Founctionement</t>
  </si>
  <si>
    <t>Unités</t>
  </si>
  <si>
    <t>Capacity</t>
  </si>
  <si>
    <t>MW</t>
  </si>
  <si>
    <t>Heures Util.</t>
  </si>
  <si>
    <t>h</t>
  </si>
  <si>
    <t>#Demarrages</t>
  </si>
  <si>
    <t>Ppgaz</t>
  </si>
  <si>
    <t>€/MWh gaz PCS</t>
  </si>
  <si>
    <t>PCO2</t>
  </si>
  <si>
    <t>Mois contrat</t>
  </si>
  <si>
    <t>Cout Liquidité</t>
  </si>
  <si>
    <t>I. Main Contract</t>
  </si>
  <si>
    <t>Parametres</t>
  </si>
  <si>
    <t>Avenant n3 v5</t>
  </si>
  <si>
    <t>CE</t>
  </si>
  <si>
    <t>Rdegradation</t>
  </si>
  <si>
    <t>Cs</t>
  </si>
  <si>
    <t>MWH gasz PCS/MWh elect</t>
  </si>
  <si>
    <t>F sourcout</t>
  </si>
  <si>
    <t>New factor</t>
  </si>
  <si>
    <t>Rdefaillance</t>
  </si>
  <si>
    <t>Recart</t>
  </si>
  <si>
    <r>
      <t>R</t>
    </r>
    <r>
      <rPr>
        <sz val="8"/>
        <rFont val="Arial"/>
        <family val="2"/>
      </rPr>
      <t>PFIn</t>
    </r>
  </si>
  <si>
    <t>A</t>
  </si>
  <si>
    <t>MWh gasz PCS</t>
  </si>
  <si>
    <t>B</t>
  </si>
  <si>
    <t>€</t>
  </si>
  <si>
    <t>PFEo</t>
  </si>
  <si>
    <t>€/year</t>
  </si>
  <si>
    <t>X</t>
  </si>
  <si>
    <t>Y</t>
  </si>
  <si>
    <t>Wn</t>
  </si>
  <si>
    <t>In</t>
  </si>
  <si>
    <t>Soutirage</t>
  </si>
  <si>
    <t>RCO2</t>
  </si>
  <si>
    <t>t CO2/MWH elect</t>
  </si>
  <si>
    <t>Cout Allocation Capacite</t>
  </si>
  <si>
    <t>€/mois</t>
  </si>
  <si>
    <t>Prime liquidité</t>
  </si>
  <si>
    <t>Calcules des paiments de Soregies</t>
  </si>
  <si>
    <t>Pouissance Soregies</t>
  </si>
  <si>
    <t>Energie livré</t>
  </si>
  <si>
    <t>GWh</t>
  </si>
  <si>
    <t>1,- Calcule du Cout Prop. Excercise (Inc Soutirage)</t>
  </si>
  <si>
    <t>PPj</t>
  </si>
  <si>
    <t>€/MWh elec</t>
  </si>
  <si>
    <t>Precio</t>
  </si>
  <si>
    <t>Compl. Indispo</t>
  </si>
  <si>
    <t>Paiment Propotionnel Energie</t>
  </si>
  <si>
    <t>k€</t>
  </si>
  <si>
    <t>2,- Calcule Cout Prop. Demarrages</t>
  </si>
  <si>
    <t>Prix Unitaire Demarrage</t>
  </si>
  <si>
    <t>Paiment Prop. Demarrages</t>
  </si>
  <si>
    <t>3,- CO2 cost</t>
  </si>
  <si>
    <t>Conso CO2</t>
  </si>
  <si>
    <t>tm CO2</t>
  </si>
  <si>
    <t>Paiment CO2</t>
  </si>
  <si>
    <t>4,- Liquidité</t>
  </si>
  <si>
    <t>Conso Gas</t>
  </si>
  <si>
    <t>GWh gaz PCS</t>
  </si>
  <si>
    <t>Paiment Liquidité</t>
  </si>
  <si>
    <t>Total Couts Proportionales</t>
  </si>
  <si>
    <t>4,- Calcule Prime fixe</t>
  </si>
  <si>
    <t>Prime Fixe</t>
  </si>
  <si>
    <t>5,- Couts Fixe Capacité Gaz</t>
  </si>
  <si>
    <t>Paiment Capacité</t>
  </si>
  <si>
    <t>Total Couts Fixes</t>
  </si>
  <si>
    <t>Total Paiment</t>
  </si>
  <si>
    <t>Contrat_Droit de Tirage_v9_20071217_v3</t>
  </si>
  <si>
    <t>II. Call Option</t>
  </si>
  <si>
    <t>CS (non explicite)</t>
  </si>
  <si>
    <t>New Factor</t>
  </si>
  <si>
    <t>Rdefaillance  (non explicite)</t>
  </si>
  <si>
    <t>Calcules des paiments de SNET</t>
  </si>
  <si>
    <t>Diferences: Main Contract - Call Option</t>
  </si>
  <si>
    <t>1,- Calcule du Cout Prop. Excercise 5 (Inc.Soutirage)</t>
  </si>
  <si>
    <t>1,- Calcule du Cout Prop. Excercise</t>
  </si>
  <si>
    <t>III. Bact to Back ContractCall Option</t>
  </si>
  <si>
    <t>SNET GasTolling 2010-2014 Version6_2_diffusion</t>
  </si>
  <si>
    <t>CE'</t>
  </si>
  <si>
    <t>New Factor'</t>
  </si>
  <si>
    <t>soutirage</t>
  </si>
  <si>
    <t>Factor de Verification</t>
  </si>
  <si>
    <t>Cons CO2 en demarrage</t>
  </si>
  <si>
    <t>Prime liquidité Dife CE'-New factor')</t>
  </si>
  <si>
    <t>Pouissance</t>
  </si>
  <si>
    <t>Diferences: B2B - Call Option</t>
  </si>
  <si>
    <t>2010-2014</t>
  </si>
  <si>
    <t>1,- Marge Energie</t>
  </si>
  <si>
    <t>Revenues Main Contract</t>
  </si>
  <si>
    <t>Couts Call Option</t>
  </si>
  <si>
    <t>Revenues Back to Back</t>
  </si>
  <si>
    <t>Couts(1)</t>
  </si>
  <si>
    <t>2,- Marge demarrageDemarrages</t>
  </si>
  <si>
    <t>Couts Proportionneles (1)</t>
  </si>
  <si>
    <t>3,- Marge CO2</t>
  </si>
  <si>
    <t>Couts Proportionneles (2)</t>
  </si>
  <si>
    <t>Total Marge Snet</t>
  </si>
  <si>
    <t>(1) Consideration de Couts proportionneles = Revenues Main Contrat</t>
  </si>
  <si>
    <t>(2) consideration couts reels de liquidité+spread</t>
  </si>
  <si>
    <t>4,- Liquidité Reel</t>
  </si>
  <si>
    <t>Production</t>
  </si>
  <si>
    <t>MWh</t>
  </si>
  <si>
    <t>Couts Unitaire (€/MWh)</t>
  </si>
</sst>
</file>

<file path=xl/styles.xml><?xml version="1.0" encoding="utf-8"?>
<styleSheet xmlns="http://schemas.openxmlformats.org/spreadsheetml/2006/main">
  <numFmts count="7">
    <numFmt numFmtId="43" formatCode="_-* #,##0.00\ _€_-;\-* #,##0.00\ _€_-;_-* &quot;-&quot;??\ _€_-;_-@_-"/>
    <numFmt numFmtId="164" formatCode="0.000"/>
    <numFmt numFmtId="165" formatCode="#,##0.0"/>
    <numFmt numFmtId="166" formatCode="#,##0.000"/>
    <numFmt numFmtId="167" formatCode="0.0"/>
    <numFmt numFmtId="168" formatCode="0.00000"/>
    <numFmt numFmtId="172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10"/>
      <name val="Tahoma"/>
      <family val="2"/>
    </font>
    <font>
      <sz val="8"/>
      <color indexed="10"/>
      <name val="Tahoma"/>
      <family val="2"/>
    </font>
    <font>
      <sz val="10"/>
      <color rgb="FFFF0000"/>
      <name val="Arial"/>
      <family val="2"/>
    </font>
    <font>
      <sz val="10"/>
      <color theme="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5" fillId="0" borderId="0" xfId="0" applyFont="1" applyBorder="1"/>
    <xf numFmtId="0" fontId="5" fillId="0" borderId="10" xfId="0" applyFont="1" applyBorder="1"/>
    <xf numFmtId="2" fontId="5" fillId="0" borderId="0" xfId="0" applyNumberFormat="1" applyFont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5" fillId="0" borderId="13" xfId="0" applyFont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6" xfId="0" applyFont="1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0" xfId="0" applyBorder="1" applyAlignment="1">
      <alignment horizontal="left"/>
    </xf>
    <xf numFmtId="0" fontId="6" fillId="2" borderId="0" xfId="0" applyFont="1" applyFill="1"/>
    <xf numFmtId="0" fontId="7" fillId="0" borderId="5" xfId="0" applyFont="1" applyBorder="1" applyAlignment="1">
      <alignment horizontal="center"/>
    </xf>
    <xf numFmtId="10" fontId="5" fillId="0" borderId="0" xfId="2" applyNumberFormat="1" applyFont="1" applyBorder="1"/>
    <xf numFmtId="10" fontId="5" fillId="0" borderId="10" xfId="2" applyNumberFormat="1" applyFont="1" applyBorder="1"/>
    <xf numFmtId="0" fontId="7" fillId="0" borderId="0" xfId="0" applyFont="1"/>
    <xf numFmtId="0" fontId="7" fillId="0" borderId="9" xfId="0" applyFont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0" fontId="5" fillId="0" borderId="13" xfId="2" applyNumberFormat="1" applyFont="1" applyBorder="1"/>
    <xf numFmtId="10" fontId="5" fillId="0" borderId="14" xfId="2" applyNumberFormat="1" applyFont="1" applyBorder="1"/>
    <xf numFmtId="3" fontId="5" fillId="0" borderId="13" xfId="0" applyNumberFormat="1" applyFont="1" applyBorder="1"/>
    <xf numFmtId="0" fontId="0" fillId="0" borderId="4" xfId="0" applyFill="1" applyBorder="1"/>
    <xf numFmtId="3" fontId="5" fillId="0" borderId="6" xfId="0" applyNumberFormat="1" applyFont="1" applyBorder="1"/>
    <xf numFmtId="3" fontId="0" fillId="0" borderId="6" xfId="0" applyNumberFormat="1" applyBorder="1"/>
    <xf numFmtId="0" fontId="0" fillId="0" borderId="8" xfId="0" applyFill="1" applyBorder="1"/>
    <xf numFmtId="10" fontId="0" fillId="0" borderId="0" xfId="2" applyNumberFormat="1" applyFont="1" applyBorder="1"/>
    <xf numFmtId="10" fontId="0" fillId="0" borderId="10" xfId="2" applyNumberFormat="1" applyFont="1" applyBorder="1"/>
    <xf numFmtId="0" fontId="5" fillId="0" borderId="9" xfId="0" applyFont="1" applyBorder="1" applyAlignment="1">
      <alignment horizontal="center"/>
    </xf>
    <xf numFmtId="166" fontId="8" fillId="0" borderId="0" xfId="0" applyNumberFormat="1" applyFont="1" applyBorder="1"/>
    <xf numFmtId="166" fontId="8" fillId="0" borderId="10" xfId="0" applyNumberFormat="1" applyFont="1" applyBorder="1"/>
    <xf numFmtId="0" fontId="0" fillId="0" borderId="11" xfId="0" applyFill="1" applyBorder="1"/>
    <xf numFmtId="0" fontId="5" fillId="0" borderId="12" xfId="0" applyFont="1" applyBorder="1" applyAlignment="1">
      <alignment horizontal="center"/>
    </xf>
    <xf numFmtId="164" fontId="8" fillId="0" borderId="13" xfId="0" applyNumberFormat="1" applyFont="1" applyBorder="1"/>
    <xf numFmtId="164" fontId="8" fillId="0" borderId="14" xfId="0" applyNumberFormat="1" applyFont="1" applyBorder="1"/>
    <xf numFmtId="0" fontId="0" fillId="0" borderId="15" xfId="0" applyFill="1" applyBorder="1"/>
    <xf numFmtId="3" fontId="5" fillId="0" borderId="2" xfId="0" applyNumberFormat="1" applyFont="1" applyBorder="1"/>
    <xf numFmtId="3" fontId="0" fillId="0" borderId="2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5" xfId="0" applyBorder="1"/>
    <xf numFmtId="0" fontId="0" fillId="0" borderId="12" xfId="0" applyBorder="1"/>
    <xf numFmtId="0" fontId="0" fillId="0" borderId="4" xfId="0" applyBorder="1" applyAlignment="1">
      <alignment horizontal="left" indent="2"/>
    </xf>
    <xf numFmtId="2" fontId="0" fillId="0" borderId="0" xfId="0" applyNumberFormat="1" applyBorder="1"/>
    <xf numFmtId="0" fontId="7" fillId="0" borderId="8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indent="1"/>
    </xf>
    <xf numFmtId="2" fontId="7" fillId="0" borderId="0" xfId="0" applyNumberFormat="1" applyFont="1" applyBorder="1"/>
    <xf numFmtId="0" fontId="7" fillId="0" borderId="0" xfId="0" applyFont="1" applyBorder="1"/>
    <xf numFmtId="0" fontId="7" fillId="0" borderId="10" xfId="0" applyFont="1" applyBorder="1"/>
    <xf numFmtId="0" fontId="4" fillId="0" borderId="0" xfId="0" applyFont="1"/>
    <xf numFmtId="0" fontId="4" fillId="0" borderId="8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2" xfId="0" applyFont="1" applyBorder="1" applyAlignment="1">
      <alignment horizontal="center"/>
    </xf>
    <xf numFmtId="165" fontId="4" fillId="0" borderId="13" xfId="0" applyNumberFormat="1" applyFont="1" applyBorder="1"/>
    <xf numFmtId="0" fontId="4" fillId="0" borderId="14" xfId="0" applyFont="1" applyBorder="1"/>
    <xf numFmtId="0" fontId="4" fillId="0" borderId="10" xfId="0" applyFont="1" applyBorder="1"/>
    <xf numFmtId="0" fontId="4" fillId="0" borderId="0" xfId="0" applyFont="1" applyBorder="1"/>
    <xf numFmtId="167" fontId="0" fillId="0" borderId="0" xfId="0" applyNumberFormat="1" applyBorder="1"/>
    <xf numFmtId="0" fontId="0" fillId="0" borderId="8" xfId="0" applyBorder="1" applyAlignment="1">
      <alignment horizontal="left" indent="2"/>
    </xf>
    <xf numFmtId="0" fontId="4" fillId="0" borderId="9" xfId="0" applyFont="1" applyBorder="1" applyAlignment="1">
      <alignment horizontal="center"/>
    </xf>
    <xf numFmtId="165" fontId="4" fillId="0" borderId="0" xfId="0" applyNumberFormat="1" applyFont="1" applyBorder="1"/>
    <xf numFmtId="0" fontId="4" fillId="0" borderId="15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165" fontId="4" fillId="0" borderId="2" xfId="0" applyNumberFormat="1" applyFont="1" applyBorder="1"/>
    <xf numFmtId="0" fontId="4" fillId="0" borderId="3" xfId="0" applyFont="1" applyBorder="1"/>
    <xf numFmtId="165" fontId="4" fillId="0" borderId="3" xfId="0" applyNumberFormat="1" applyFont="1" applyBorder="1"/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4" xfId="0" applyFont="1" applyBorder="1"/>
    <xf numFmtId="0" fontId="0" fillId="0" borderId="9" xfId="0" applyBorder="1"/>
    <xf numFmtId="10" fontId="5" fillId="0" borderId="8" xfId="2" applyNumberFormat="1" applyFont="1" applyBorder="1"/>
    <xf numFmtId="168" fontId="5" fillId="0" borderId="8" xfId="0" applyNumberFormat="1" applyFont="1" applyBorder="1"/>
    <xf numFmtId="168" fontId="0" fillId="0" borderId="0" xfId="0" applyNumberFormat="1" applyBorder="1"/>
    <xf numFmtId="168" fontId="0" fillId="0" borderId="10" xfId="0" applyNumberFormat="1" applyBorder="1"/>
    <xf numFmtId="0" fontId="5" fillId="0" borderId="8" xfId="0" applyFont="1" applyBorder="1"/>
    <xf numFmtId="9" fontId="5" fillId="0" borderId="8" xfId="0" applyNumberFormat="1" applyFont="1" applyBorder="1"/>
    <xf numFmtId="10" fontId="5" fillId="0" borderId="8" xfId="0" applyNumberFormat="1" applyFont="1" applyBorder="1"/>
    <xf numFmtId="10" fontId="5" fillId="0" borderId="11" xfId="2" applyNumberFormat="1" applyFont="1" applyBorder="1"/>
    <xf numFmtId="165" fontId="5" fillId="0" borderId="4" xfId="0" applyNumberFormat="1" applyFont="1" applyBorder="1"/>
    <xf numFmtId="3" fontId="5" fillId="0" borderId="11" xfId="0" applyNumberFormat="1" applyFont="1" applyBorder="1"/>
    <xf numFmtId="3" fontId="5" fillId="0" borderId="4" xfId="0" applyNumberFormat="1" applyFont="1" applyBorder="1"/>
    <xf numFmtId="166" fontId="8" fillId="0" borderId="8" xfId="0" applyNumberFormat="1" applyFont="1" applyBorder="1"/>
    <xf numFmtId="0" fontId="6" fillId="0" borderId="0" xfId="0" applyFont="1"/>
    <xf numFmtId="166" fontId="5" fillId="0" borderId="11" xfId="0" applyNumberFormat="1" applyFont="1" applyBorder="1"/>
    <xf numFmtId="0" fontId="6" fillId="2" borderId="11" xfId="0" applyFont="1" applyFill="1" applyBorder="1"/>
    <xf numFmtId="3" fontId="5" fillId="0" borderId="15" xfId="0" applyNumberFormat="1" applyFont="1" applyBorder="1"/>
    <xf numFmtId="4" fontId="6" fillId="2" borderId="15" xfId="0" applyNumberFormat="1" applyFont="1" applyFill="1" applyBorder="1"/>
    <xf numFmtId="2" fontId="0" fillId="0" borderId="8" xfId="0" applyNumberFormat="1" applyBorder="1"/>
    <xf numFmtId="2" fontId="7" fillId="0" borderId="8" xfId="0" applyNumberFormat="1" applyFont="1" applyBorder="1"/>
    <xf numFmtId="165" fontId="4" fillId="0" borderId="11" xfId="0" applyNumberFormat="1" applyFont="1" applyBorder="1"/>
    <xf numFmtId="167" fontId="0" fillId="0" borderId="8" xfId="0" applyNumberFormat="1" applyBorder="1"/>
    <xf numFmtId="165" fontId="4" fillId="0" borderId="8" xfId="0" applyNumberFormat="1" applyFont="1" applyBorder="1"/>
    <xf numFmtId="165" fontId="9" fillId="0" borderId="15" xfId="0" applyNumberFormat="1" applyFont="1" applyBorder="1"/>
    <xf numFmtId="165" fontId="9" fillId="0" borderId="2" xfId="0" applyNumberFormat="1" applyFont="1" applyBorder="1"/>
    <xf numFmtId="0" fontId="9" fillId="0" borderId="2" xfId="0" applyFont="1" applyBorder="1"/>
    <xf numFmtId="0" fontId="9" fillId="0" borderId="3" xfId="0" applyFont="1" applyBorder="1"/>
    <xf numFmtId="165" fontId="4" fillId="0" borderId="15" xfId="0" applyNumberFormat="1" applyFont="1" applyBorder="1"/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43" fontId="5" fillId="0" borderId="0" xfId="1" applyFont="1" applyBorder="1"/>
    <xf numFmtId="43" fontId="5" fillId="0" borderId="0" xfId="0" applyNumberFormat="1" applyFont="1" applyBorder="1"/>
    <xf numFmtId="4" fontId="5" fillId="0" borderId="0" xfId="0" applyNumberFormat="1" applyFont="1" applyBorder="1"/>
    <xf numFmtId="4" fontId="5" fillId="0" borderId="10" xfId="0" applyNumberFormat="1" applyFont="1" applyBorder="1"/>
    <xf numFmtId="0" fontId="5" fillId="0" borderId="14" xfId="0" applyFont="1" applyBorder="1"/>
    <xf numFmtId="3" fontId="5" fillId="0" borderId="0" xfId="0" applyNumberFormat="1" applyFont="1" applyBorder="1"/>
    <xf numFmtId="0" fontId="6" fillId="0" borderId="13" xfId="0" applyFont="1" applyBorder="1"/>
    <xf numFmtId="0" fontId="0" fillId="0" borderId="1" xfId="0" quotePrefix="1" applyBorder="1" applyAlignment="1">
      <alignment horizontal="center"/>
    </xf>
    <xf numFmtId="4" fontId="6" fillId="2" borderId="2" xfId="0" applyNumberFormat="1" applyFont="1" applyFill="1" applyBorder="1"/>
    <xf numFmtId="0" fontId="4" fillId="0" borderId="4" xfId="0" applyFont="1" applyBorder="1" applyAlignment="1">
      <alignment horizontal="left" indent="2"/>
    </xf>
    <xf numFmtId="0" fontId="4" fillId="0" borderId="6" xfId="0" applyFont="1" applyBorder="1"/>
    <xf numFmtId="165" fontId="4" fillId="0" borderId="5" xfId="0" applyNumberFormat="1" applyFont="1" applyBorder="1" applyAlignment="1">
      <alignment horizontal="center"/>
    </xf>
    <xf numFmtId="165" fontId="4" fillId="0" borderId="6" xfId="0" applyNumberFormat="1" applyFont="1" applyBorder="1"/>
    <xf numFmtId="165" fontId="4" fillId="0" borderId="7" xfId="0" applyNumberFormat="1" applyFont="1" applyBorder="1"/>
    <xf numFmtId="165" fontId="0" fillId="0" borderId="9" xfId="0" applyNumberFormat="1" applyBorder="1" applyAlignment="1">
      <alignment horizontal="center"/>
    </xf>
    <xf numFmtId="165" fontId="0" fillId="0" borderId="0" xfId="0" applyNumberFormat="1" applyBorder="1"/>
    <xf numFmtId="165" fontId="0" fillId="0" borderId="10" xfId="0" applyNumberFormat="1" applyBorder="1"/>
    <xf numFmtId="0" fontId="7" fillId="0" borderId="11" xfId="0" applyFont="1" applyBorder="1"/>
    <xf numFmtId="0" fontId="0" fillId="0" borderId="13" xfId="0" applyFill="1" applyBorder="1"/>
    <xf numFmtId="165" fontId="0" fillId="0" borderId="12" xfId="0" applyNumberFormat="1" applyBorder="1" applyAlignment="1">
      <alignment horizontal="center"/>
    </xf>
    <xf numFmtId="165" fontId="0" fillId="0" borderId="13" xfId="0" applyNumberFormat="1" applyBorder="1"/>
    <xf numFmtId="165" fontId="0" fillId="0" borderId="14" xfId="0" applyNumberFormat="1" applyBorder="1"/>
    <xf numFmtId="165" fontId="4" fillId="0" borderId="1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0" fillId="0" borderId="0" xfId="0" quotePrefix="1"/>
    <xf numFmtId="0" fontId="4" fillId="0" borderId="5" xfId="0" applyFont="1" applyBorder="1" applyAlignment="1">
      <alignment horizontal="center"/>
    </xf>
    <xf numFmtId="0" fontId="4" fillId="0" borderId="7" xfId="0" applyFont="1" applyBorder="1"/>
    <xf numFmtId="0" fontId="0" fillId="4" borderId="2" xfId="0" applyFill="1" applyBorder="1" applyAlignment="1">
      <alignment horizontal="center"/>
    </xf>
    <xf numFmtId="0" fontId="5" fillId="4" borderId="6" xfId="0" applyFont="1" applyFill="1" applyBorder="1"/>
    <xf numFmtId="0" fontId="5" fillId="4" borderId="0" xfId="0" applyFont="1" applyFill="1" applyBorder="1"/>
    <xf numFmtId="2" fontId="5" fillId="4" borderId="0" xfId="0" applyNumberFormat="1" applyFont="1" applyFill="1" applyBorder="1"/>
    <xf numFmtId="0" fontId="5" fillId="4" borderId="13" xfId="0" applyFont="1" applyFill="1" applyBorder="1"/>
    <xf numFmtId="0" fontId="5" fillId="4" borderId="15" xfId="0" applyFont="1" applyFill="1" applyBorder="1"/>
    <xf numFmtId="0" fontId="5" fillId="4" borderId="2" xfId="0" applyFont="1" applyFill="1" applyBorder="1"/>
    <xf numFmtId="10" fontId="5" fillId="4" borderId="0" xfId="2" applyNumberFormat="1" applyFont="1" applyFill="1" applyBorder="1"/>
    <xf numFmtId="0" fontId="0" fillId="4" borderId="0" xfId="0" applyFill="1" applyBorder="1"/>
    <xf numFmtId="9" fontId="5" fillId="4" borderId="0" xfId="0" applyNumberFormat="1" applyFont="1" applyFill="1" applyBorder="1"/>
    <xf numFmtId="10" fontId="5" fillId="4" borderId="0" xfId="0" applyNumberFormat="1" applyFont="1" applyFill="1" applyBorder="1"/>
    <xf numFmtId="10" fontId="5" fillId="4" borderId="13" xfId="2" applyNumberFormat="1" applyFont="1" applyFill="1" applyBorder="1"/>
    <xf numFmtId="165" fontId="5" fillId="4" borderId="6" xfId="0" applyNumberFormat="1" applyFont="1" applyFill="1" applyBorder="1"/>
    <xf numFmtId="0" fontId="0" fillId="4" borderId="6" xfId="0" applyFill="1" applyBorder="1"/>
    <xf numFmtId="3" fontId="5" fillId="4" borderId="13" xfId="0" applyNumberFormat="1" applyFont="1" applyFill="1" applyBorder="1"/>
    <xf numFmtId="0" fontId="0" fillId="4" borderId="13" xfId="0" applyFill="1" applyBorder="1"/>
    <xf numFmtId="3" fontId="5" fillId="4" borderId="6" xfId="0" applyNumberFormat="1" applyFont="1" applyFill="1" applyBorder="1"/>
    <xf numFmtId="3" fontId="0" fillId="4" borderId="6" xfId="0" applyNumberFormat="1" applyFill="1" applyBorder="1"/>
    <xf numFmtId="10" fontId="0" fillId="4" borderId="0" xfId="2" applyNumberFormat="1" applyFont="1" applyFill="1" applyBorder="1"/>
    <xf numFmtId="166" fontId="8" fillId="4" borderId="0" xfId="0" applyNumberFormat="1" applyFont="1" applyFill="1" applyBorder="1"/>
    <xf numFmtId="166" fontId="5" fillId="4" borderId="13" xfId="0" applyNumberFormat="1" applyFont="1" applyFill="1" applyBorder="1"/>
    <xf numFmtId="164" fontId="8" fillId="4" borderId="13" xfId="0" applyNumberFormat="1" applyFont="1" applyFill="1" applyBorder="1"/>
    <xf numFmtId="3" fontId="5" fillId="4" borderId="2" xfId="0" applyNumberFormat="1" applyFont="1" applyFill="1" applyBorder="1"/>
    <xf numFmtId="3" fontId="0" fillId="4" borderId="2" xfId="0" applyNumberFormat="1" applyFill="1" applyBorder="1"/>
    <xf numFmtId="4" fontId="5" fillId="4" borderId="2" xfId="0" applyNumberFormat="1" applyFont="1" applyFill="1" applyBorder="1"/>
    <xf numFmtId="4" fontId="0" fillId="4" borderId="2" xfId="0" applyNumberFormat="1" applyFill="1" applyBorder="1"/>
    <xf numFmtId="2" fontId="0" fillId="4" borderId="0" xfId="0" applyNumberFormat="1" applyFill="1" applyBorder="1"/>
    <xf numFmtId="2" fontId="7" fillId="4" borderId="0" xfId="0" applyNumberFormat="1" applyFont="1" applyFill="1" applyBorder="1"/>
    <xf numFmtId="165" fontId="4" fillId="4" borderId="13" xfId="0" applyNumberFormat="1" applyFont="1" applyFill="1" applyBorder="1"/>
    <xf numFmtId="167" fontId="0" fillId="4" borderId="0" xfId="0" applyNumberFormat="1" applyFill="1" applyBorder="1"/>
    <xf numFmtId="165" fontId="4" fillId="4" borderId="0" xfId="0" applyNumberFormat="1" applyFont="1" applyFill="1" applyBorder="1"/>
    <xf numFmtId="165" fontId="4" fillId="4" borderId="2" xfId="0" applyNumberFormat="1" applyFont="1" applyFill="1" applyBorder="1"/>
    <xf numFmtId="172" fontId="0" fillId="4" borderId="0" xfId="2" applyNumberFormat="1" applyFont="1" applyFill="1" applyBorder="1"/>
    <xf numFmtId="172" fontId="0" fillId="0" borderId="0" xfId="2" applyNumberFormat="1" applyFont="1" applyBorder="1"/>
    <xf numFmtId="166" fontId="14" fillId="0" borderId="0" xfId="0" applyNumberFormat="1" applyFont="1" applyBorder="1"/>
    <xf numFmtId="164" fontId="14" fillId="0" borderId="13" xfId="0" applyNumberFormat="1" applyFont="1" applyBorder="1"/>
    <xf numFmtId="164" fontId="15" fillId="0" borderId="13" xfId="0" applyNumberFormat="1" applyFont="1" applyBorder="1"/>
    <xf numFmtId="3" fontId="2" fillId="0" borderId="2" xfId="0" applyNumberFormat="1" applyFont="1" applyBorder="1"/>
    <xf numFmtId="4" fontId="2" fillId="0" borderId="2" xfId="0" applyNumberFormat="1" applyFont="1" applyBorder="1"/>
    <xf numFmtId="0" fontId="14" fillId="0" borderId="6" xfId="0" applyFont="1" applyBorder="1"/>
    <xf numFmtId="3" fontId="5" fillId="4" borderId="0" xfId="0" applyNumberFormat="1" applyFont="1" applyFill="1" applyBorder="1"/>
    <xf numFmtId="0" fontId="2" fillId="0" borderId="2" xfId="0" applyFont="1" applyBorder="1"/>
    <xf numFmtId="2" fontId="14" fillId="0" borderId="0" xfId="0" applyNumberFormat="1" applyFont="1" applyBorder="1"/>
    <xf numFmtId="2" fontId="0" fillId="3" borderId="0" xfId="0" applyNumberFormat="1" applyFill="1" applyBorder="1"/>
    <xf numFmtId="2" fontId="7" fillId="3" borderId="0" xfId="0" applyNumberFormat="1" applyFont="1" applyFill="1" applyBorder="1"/>
    <xf numFmtId="165" fontId="4" fillId="3" borderId="13" xfId="0" applyNumberFormat="1" applyFont="1" applyFill="1" applyBorder="1"/>
    <xf numFmtId="0" fontId="0" fillId="3" borderId="6" xfId="0" applyFill="1" applyBorder="1"/>
    <xf numFmtId="167" fontId="0" fillId="3" borderId="0" xfId="0" applyNumberFormat="1" applyFill="1" applyBorder="1"/>
    <xf numFmtId="165" fontId="4" fillId="3" borderId="0" xfId="0" applyNumberFormat="1" applyFont="1" applyFill="1" applyBorder="1"/>
    <xf numFmtId="165" fontId="4" fillId="3" borderId="2" xfId="0" applyNumberFormat="1" applyFont="1" applyFill="1" applyBorder="1"/>
    <xf numFmtId="0" fontId="0" fillId="3" borderId="0" xfId="0" applyFill="1" applyBorder="1"/>
    <xf numFmtId="3" fontId="8" fillId="4" borderId="0" xfId="0" applyNumberFormat="1" applyFont="1" applyFill="1" applyBorder="1"/>
    <xf numFmtId="3" fontId="8" fillId="0" borderId="0" xfId="0" applyNumberFormat="1" applyFont="1" applyBorder="1"/>
    <xf numFmtId="0" fontId="18" fillId="0" borderId="13" xfId="0" applyFont="1" applyBorder="1"/>
    <xf numFmtId="0" fontId="18" fillId="0" borderId="13" xfId="0" applyFont="1" applyBorder="1" applyAlignment="1">
      <alignment horizontal="center"/>
    </xf>
    <xf numFmtId="2" fontId="18" fillId="0" borderId="13" xfId="0" applyNumberFormat="1" applyFont="1" applyBorder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9525</xdr:colOff>
      <xdr:row>22</xdr:row>
      <xdr:rowOff>76200</xdr:rowOff>
    </xdr:from>
    <xdr:to>
      <xdr:col>56</xdr:col>
      <xdr:colOff>457200</xdr:colOff>
      <xdr:row>25</xdr:row>
      <xdr:rowOff>95250</xdr:rowOff>
    </xdr:to>
    <xdr:sp macro="" textlink="">
      <xdr:nvSpPr>
        <xdr:cNvPr id="2" name="AutoShape 56"/>
        <xdr:cNvSpPr>
          <a:spLocks/>
        </xdr:cNvSpPr>
      </xdr:nvSpPr>
      <xdr:spPr bwMode="auto">
        <a:xfrm>
          <a:off x="10334625" y="3543300"/>
          <a:ext cx="676275" cy="504825"/>
        </a:xfrm>
        <a:prstGeom prst="rightBrace">
          <a:avLst>
            <a:gd name="adj1" fmla="val 8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876300</xdr:colOff>
      <xdr:row>120</xdr:row>
      <xdr:rowOff>85725</xdr:rowOff>
    </xdr:from>
    <xdr:to>
      <xdr:col>57</xdr:col>
      <xdr:colOff>952500</xdr:colOff>
      <xdr:row>122</xdr:row>
      <xdr:rowOff>142875</xdr:rowOff>
    </xdr:to>
    <xdr:sp macro="" textlink="">
      <xdr:nvSpPr>
        <xdr:cNvPr id="3" name="AutoShape 99"/>
        <xdr:cNvSpPr>
          <a:spLocks/>
        </xdr:cNvSpPr>
      </xdr:nvSpPr>
      <xdr:spPr bwMode="auto">
        <a:xfrm>
          <a:off x="11887200" y="19383375"/>
          <a:ext cx="76200" cy="381000"/>
        </a:xfrm>
        <a:prstGeom prst="righ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13"/>
  <sheetViews>
    <sheetView tabSelected="1" topLeftCell="C47" workbookViewId="0">
      <selection activeCell="G66" sqref="G66"/>
    </sheetView>
  </sheetViews>
  <sheetFormatPr baseColWidth="10" defaultRowHeight="15"/>
  <cols>
    <col min="1" max="1" width="30.85546875" customWidth="1"/>
    <col min="2" max="2" width="2.28515625" customWidth="1"/>
    <col min="3" max="3" width="2.7109375" style="1" customWidth="1"/>
    <col min="4" max="4" width="6.85546875" customWidth="1"/>
    <col min="5" max="5" width="31.5703125" bestFit="1" customWidth="1"/>
    <col min="6" max="6" width="21.42578125" style="2" customWidth="1"/>
    <col min="7" max="9" width="12" bestFit="1" customWidth="1"/>
    <col min="10" max="10" width="11.5703125" bestFit="1" customWidth="1"/>
    <col min="11" max="53" width="11.5703125" customWidth="1"/>
    <col min="54" max="54" width="11.5703125" bestFit="1" customWidth="1"/>
    <col min="55" max="56" width="2.28515625" customWidth="1"/>
    <col min="57" max="57" width="5.7109375" customWidth="1"/>
    <col min="58" max="58" width="26.140625" customWidth="1"/>
    <col min="64" max="64" width="3.28515625" customWidth="1"/>
    <col min="300" max="300" width="30.85546875" customWidth="1"/>
    <col min="301" max="301" width="2.28515625" customWidth="1"/>
    <col min="302" max="302" width="2.7109375" customWidth="1"/>
    <col min="303" max="303" width="6.85546875" customWidth="1"/>
    <col min="304" max="304" width="31.5703125" bestFit="1" customWidth="1"/>
    <col min="305" max="305" width="21.42578125" customWidth="1"/>
    <col min="306" max="308" width="12" bestFit="1" customWidth="1"/>
    <col min="309" max="310" width="11.5703125" bestFit="1" customWidth="1"/>
    <col min="311" max="312" width="2.28515625" customWidth="1"/>
    <col min="313" max="313" width="5.7109375" customWidth="1"/>
    <col min="314" max="314" width="26.140625" customWidth="1"/>
    <col min="320" max="320" width="3.28515625" customWidth="1"/>
    <col min="556" max="556" width="30.85546875" customWidth="1"/>
    <col min="557" max="557" width="2.28515625" customWidth="1"/>
    <col min="558" max="558" width="2.7109375" customWidth="1"/>
    <col min="559" max="559" width="6.85546875" customWidth="1"/>
    <col min="560" max="560" width="31.5703125" bestFit="1" customWidth="1"/>
    <col min="561" max="561" width="21.42578125" customWidth="1"/>
    <col min="562" max="564" width="12" bestFit="1" customWidth="1"/>
    <col min="565" max="566" width="11.5703125" bestFit="1" customWidth="1"/>
    <col min="567" max="568" width="2.28515625" customWidth="1"/>
    <col min="569" max="569" width="5.7109375" customWidth="1"/>
    <col min="570" max="570" width="26.140625" customWidth="1"/>
    <col min="576" max="576" width="3.28515625" customWidth="1"/>
    <col min="812" max="812" width="30.85546875" customWidth="1"/>
    <col min="813" max="813" width="2.28515625" customWidth="1"/>
    <col min="814" max="814" width="2.7109375" customWidth="1"/>
    <col min="815" max="815" width="6.85546875" customWidth="1"/>
    <col min="816" max="816" width="31.5703125" bestFit="1" customWidth="1"/>
    <col min="817" max="817" width="21.42578125" customWidth="1"/>
    <col min="818" max="820" width="12" bestFit="1" customWidth="1"/>
    <col min="821" max="822" width="11.5703125" bestFit="1" customWidth="1"/>
    <col min="823" max="824" width="2.28515625" customWidth="1"/>
    <col min="825" max="825" width="5.7109375" customWidth="1"/>
    <col min="826" max="826" width="26.140625" customWidth="1"/>
    <col min="832" max="832" width="3.28515625" customWidth="1"/>
    <col min="1068" max="1068" width="30.85546875" customWidth="1"/>
    <col min="1069" max="1069" width="2.28515625" customWidth="1"/>
    <col min="1070" max="1070" width="2.7109375" customWidth="1"/>
    <col min="1071" max="1071" width="6.85546875" customWidth="1"/>
    <col min="1072" max="1072" width="31.5703125" bestFit="1" customWidth="1"/>
    <col min="1073" max="1073" width="21.42578125" customWidth="1"/>
    <col min="1074" max="1076" width="12" bestFit="1" customWidth="1"/>
    <col min="1077" max="1078" width="11.5703125" bestFit="1" customWidth="1"/>
    <col min="1079" max="1080" width="2.28515625" customWidth="1"/>
    <col min="1081" max="1081" width="5.7109375" customWidth="1"/>
    <col min="1082" max="1082" width="26.140625" customWidth="1"/>
    <col min="1088" max="1088" width="3.28515625" customWidth="1"/>
    <col min="1324" max="1324" width="30.85546875" customWidth="1"/>
    <col min="1325" max="1325" width="2.28515625" customWidth="1"/>
    <col min="1326" max="1326" width="2.7109375" customWidth="1"/>
    <col min="1327" max="1327" width="6.85546875" customWidth="1"/>
    <col min="1328" max="1328" width="31.5703125" bestFit="1" customWidth="1"/>
    <col min="1329" max="1329" width="21.42578125" customWidth="1"/>
    <col min="1330" max="1332" width="12" bestFit="1" customWidth="1"/>
    <col min="1333" max="1334" width="11.5703125" bestFit="1" customWidth="1"/>
    <col min="1335" max="1336" width="2.28515625" customWidth="1"/>
    <col min="1337" max="1337" width="5.7109375" customWidth="1"/>
    <col min="1338" max="1338" width="26.140625" customWidth="1"/>
    <col min="1344" max="1344" width="3.28515625" customWidth="1"/>
    <col min="1580" max="1580" width="30.85546875" customWidth="1"/>
    <col min="1581" max="1581" width="2.28515625" customWidth="1"/>
    <col min="1582" max="1582" width="2.7109375" customWidth="1"/>
    <col min="1583" max="1583" width="6.85546875" customWidth="1"/>
    <col min="1584" max="1584" width="31.5703125" bestFit="1" customWidth="1"/>
    <col min="1585" max="1585" width="21.42578125" customWidth="1"/>
    <col min="1586" max="1588" width="12" bestFit="1" customWidth="1"/>
    <col min="1589" max="1590" width="11.5703125" bestFit="1" customWidth="1"/>
    <col min="1591" max="1592" width="2.28515625" customWidth="1"/>
    <col min="1593" max="1593" width="5.7109375" customWidth="1"/>
    <col min="1594" max="1594" width="26.140625" customWidth="1"/>
    <col min="1600" max="1600" width="3.28515625" customWidth="1"/>
    <col min="1836" max="1836" width="30.85546875" customWidth="1"/>
    <col min="1837" max="1837" width="2.28515625" customWidth="1"/>
    <col min="1838" max="1838" width="2.7109375" customWidth="1"/>
    <col min="1839" max="1839" width="6.85546875" customWidth="1"/>
    <col min="1840" max="1840" width="31.5703125" bestFit="1" customWidth="1"/>
    <col min="1841" max="1841" width="21.42578125" customWidth="1"/>
    <col min="1842" max="1844" width="12" bestFit="1" customWidth="1"/>
    <col min="1845" max="1846" width="11.5703125" bestFit="1" customWidth="1"/>
    <col min="1847" max="1848" width="2.28515625" customWidth="1"/>
    <col min="1849" max="1849" width="5.7109375" customWidth="1"/>
    <col min="1850" max="1850" width="26.140625" customWidth="1"/>
    <col min="1856" max="1856" width="3.28515625" customWidth="1"/>
    <col min="2092" max="2092" width="30.85546875" customWidth="1"/>
    <col min="2093" max="2093" width="2.28515625" customWidth="1"/>
    <col min="2094" max="2094" width="2.7109375" customWidth="1"/>
    <col min="2095" max="2095" width="6.85546875" customWidth="1"/>
    <col min="2096" max="2096" width="31.5703125" bestFit="1" customWidth="1"/>
    <col min="2097" max="2097" width="21.42578125" customWidth="1"/>
    <col min="2098" max="2100" width="12" bestFit="1" customWidth="1"/>
    <col min="2101" max="2102" width="11.5703125" bestFit="1" customWidth="1"/>
    <col min="2103" max="2104" width="2.28515625" customWidth="1"/>
    <col min="2105" max="2105" width="5.7109375" customWidth="1"/>
    <col min="2106" max="2106" width="26.140625" customWidth="1"/>
    <col min="2112" max="2112" width="3.28515625" customWidth="1"/>
    <col min="2348" max="2348" width="30.85546875" customWidth="1"/>
    <col min="2349" max="2349" width="2.28515625" customWidth="1"/>
    <col min="2350" max="2350" width="2.7109375" customWidth="1"/>
    <col min="2351" max="2351" width="6.85546875" customWidth="1"/>
    <col min="2352" max="2352" width="31.5703125" bestFit="1" customWidth="1"/>
    <col min="2353" max="2353" width="21.42578125" customWidth="1"/>
    <col min="2354" max="2356" width="12" bestFit="1" customWidth="1"/>
    <col min="2357" max="2358" width="11.5703125" bestFit="1" customWidth="1"/>
    <col min="2359" max="2360" width="2.28515625" customWidth="1"/>
    <col min="2361" max="2361" width="5.7109375" customWidth="1"/>
    <col min="2362" max="2362" width="26.140625" customWidth="1"/>
    <col min="2368" max="2368" width="3.28515625" customWidth="1"/>
    <col min="2604" max="2604" width="30.85546875" customWidth="1"/>
    <col min="2605" max="2605" width="2.28515625" customWidth="1"/>
    <col min="2606" max="2606" width="2.7109375" customWidth="1"/>
    <col min="2607" max="2607" width="6.85546875" customWidth="1"/>
    <col min="2608" max="2608" width="31.5703125" bestFit="1" customWidth="1"/>
    <col min="2609" max="2609" width="21.42578125" customWidth="1"/>
    <col min="2610" max="2612" width="12" bestFit="1" customWidth="1"/>
    <col min="2613" max="2614" width="11.5703125" bestFit="1" customWidth="1"/>
    <col min="2615" max="2616" width="2.28515625" customWidth="1"/>
    <col min="2617" max="2617" width="5.7109375" customWidth="1"/>
    <col min="2618" max="2618" width="26.140625" customWidth="1"/>
    <col min="2624" max="2624" width="3.28515625" customWidth="1"/>
    <col min="2860" max="2860" width="30.85546875" customWidth="1"/>
    <col min="2861" max="2861" width="2.28515625" customWidth="1"/>
    <col min="2862" max="2862" width="2.7109375" customWidth="1"/>
    <col min="2863" max="2863" width="6.85546875" customWidth="1"/>
    <col min="2864" max="2864" width="31.5703125" bestFit="1" customWidth="1"/>
    <col min="2865" max="2865" width="21.42578125" customWidth="1"/>
    <col min="2866" max="2868" width="12" bestFit="1" customWidth="1"/>
    <col min="2869" max="2870" width="11.5703125" bestFit="1" customWidth="1"/>
    <col min="2871" max="2872" width="2.28515625" customWidth="1"/>
    <col min="2873" max="2873" width="5.7109375" customWidth="1"/>
    <col min="2874" max="2874" width="26.140625" customWidth="1"/>
    <col min="2880" max="2880" width="3.28515625" customWidth="1"/>
    <col min="3116" max="3116" width="30.85546875" customWidth="1"/>
    <col min="3117" max="3117" width="2.28515625" customWidth="1"/>
    <col min="3118" max="3118" width="2.7109375" customWidth="1"/>
    <col min="3119" max="3119" width="6.85546875" customWidth="1"/>
    <col min="3120" max="3120" width="31.5703125" bestFit="1" customWidth="1"/>
    <col min="3121" max="3121" width="21.42578125" customWidth="1"/>
    <col min="3122" max="3124" width="12" bestFit="1" customWidth="1"/>
    <col min="3125" max="3126" width="11.5703125" bestFit="1" customWidth="1"/>
    <col min="3127" max="3128" width="2.28515625" customWidth="1"/>
    <col min="3129" max="3129" width="5.7109375" customWidth="1"/>
    <col min="3130" max="3130" width="26.140625" customWidth="1"/>
    <col min="3136" max="3136" width="3.28515625" customWidth="1"/>
    <col min="3372" max="3372" width="30.85546875" customWidth="1"/>
    <col min="3373" max="3373" width="2.28515625" customWidth="1"/>
    <col min="3374" max="3374" width="2.7109375" customWidth="1"/>
    <col min="3375" max="3375" width="6.85546875" customWidth="1"/>
    <col min="3376" max="3376" width="31.5703125" bestFit="1" customWidth="1"/>
    <col min="3377" max="3377" width="21.42578125" customWidth="1"/>
    <col min="3378" max="3380" width="12" bestFit="1" customWidth="1"/>
    <col min="3381" max="3382" width="11.5703125" bestFit="1" customWidth="1"/>
    <col min="3383" max="3384" width="2.28515625" customWidth="1"/>
    <col min="3385" max="3385" width="5.7109375" customWidth="1"/>
    <col min="3386" max="3386" width="26.140625" customWidth="1"/>
    <col min="3392" max="3392" width="3.28515625" customWidth="1"/>
    <col min="3628" max="3628" width="30.85546875" customWidth="1"/>
    <col min="3629" max="3629" width="2.28515625" customWidth="1"/>
    <col min="3630" max="3630" width="2.7109375" customWidth="1"/>
    <col min="3631" max="3631" width="6.85546875" customWidth="1"/>
    <col min="3632" max="3632" width="31.5703125" bestFit="1" customWidth="1"/>
    <col min="3633" max="3633" width="21.42578125" customWidth="1"/>
    <col min="3634" max="3636" width="12" bestFit="1" customWidth="1"/>
    <col min="3637" max="3638" width="11.5703125" bestFit="1" customWidth="1"/>
    <col min="3639" max="3640" width="2.28515625" customWidth="1"/>
    <col min="3641" max="3641" width="5.7109375" customWidth="1"/>
    <col min="3642" max="3642" width="26.140625" customWidth="1"/>
    <col min="3648" max="3648" width="3.28515625" customWidth="1"/>
    <col min="3884" max="3884" width="30.85546875" customWidth="1"/>
    <col min="3885" max="3885" width="2.28515625" customWidth="1"/>
    <col min="3886" max="3886" width="2.7109375" customWidth="1"/>
    <col min="3887" max="3887" width="6.85546875" customWidth="1"/>
    <col min="3888" max="3888" width="31.5703125" bestFit="1" customWidth="1"/>
    <col min="3889" max="3889" width="21.42578125" customWidth="1"/>
    <col min="3890" max="3892" width="12" bestFit="1" customWidth="1"/>
    <col min="3893" max="3894" width="11.5703125" bestFit="1" customWidth="1"/>
    <col min="3895" max="3896" width="2.28515625" customWidth="1"/>
    <col min="3897" max="3897" width="5.7109375" customWidth="1"/>
    <col min="3898" max="3898" width="26.140625" customWidth="1"/>
    <col min="3904" max="3904" width="3.28515625" customWidth="1"/>
    <col min="4140" max="4140" width="30.85546875" customWidth="1"/>
    <col min="4141" max="4141" width="2.28515625" customWidth="1"/>
    <col min="4142" max="4142" width="2.7109375" customWidth="1"/>
    <col min="4143" max="4143" width="6.85546875" customWidth="1"/>
    <col min="4144" max="4144" width="31.5703125" bestFit="1" customWidth="1"/>
    <col min="4145" max="4145" width="21.42578125" customWidth="1"/>
    <col min="4146" max="4148" width="12" bestFit="1" customWidth="1"/>
    <col min="4149" max="4150" width="11.5703125" bestFit="1" customWidth="1"/>
    <col min="4151" max="4152" width="2.28515625" customWidth="1"/>
    <col min="4153" max="4153" width="5.7109375" customWidth="1"/>
    <col min="4154" max="4154" width="26.140625" customWidth="1"/>
    <col min="4160" max="4160" width="3.28515625" customWidth="1"/>
    <col min="4396" max="4396" width="30.85546875" customWidth="1"/>
    <col min="4397" max="4397" width="2.28515625" customWidth="1"/>
    <col min="4398" max="4398" width="2.7109375" customWidth="1"/>
    <col min="4399" max="4399" width="6.85546875" customWidth="1"/>
    <col min="4400" max="4400" width="31.5703125" bestFit="1" customWidth="1"/>
    <col min="4401" max="4401" width="21.42578125" customWidth="1"/>
    <col min="4402" max="4404" width="12" bestFit="1" customWidth="1"/>
    <col min="4405" max="4406" width="11.5703125" bestFit="1" customWidth="1"/>
    <col min="4407" max="4408" width="2.28515625" customWidth="1"/>
    <col min="4409" max="4409" width="5.7109375" customWidth="1"/>
    <col min="4410" max="4410" width="26.140625" customWidth="1"/>
    <col min="4416" max="4416" width="3.28515625" customWidth="1"/>
    <col min="4652" max="4652" width="30.85546875" customWidth="1"/>
    <col min="4653" max="4653" width="2.28515625" customWidth="1"/>
    <col min="4654" max="4654" width="2.7109375" customWidth="1"/>
    <col min="4655" max="4655" width="6.85546875" customWidth="1"/>
    <col min="4656" max="4656" width="31.5703125" bestFit="1" customWidth="1"/>
    <col min="4657" max="4657" width="21.42578125" customWidth="1"/>
    <col min="4658" max="4660" width="12" bestFit="1" customWidth="1"/>
    <col min="4661" max="4662" width="11.5703125" bestFit="1" customWidth="1"/>
    <col min="4663" max="4664" width="2.28515625" customWidth="1"/>
    <col min="4665" max="4665" width="5.7109375" customWidth="1"/>
    <col min="4666" max="4666" width="26.140625" customWidth="1"/>
    <col min="4672" max="4672" width="3.28515625" customWidth="1"/>
    <col min="4908" max="4908" width="30.85546875" customWidth="1"/>
    <col min="4909" max="4909" width="2.28515625" customWidth="1"/>
    <col min="4910" max="4910" width="2.7109375" customWidth="1"/>
    <col min="4911" max="4911" width="6.85546875" customWidth="1"/>
    <col min="4912" max="4912" width="31.5703125" bestFit="1" customWidth="1"/>
    <col min="4913" max="4913" width="21.42578125" customWidth="1"/>
    <col min="4914" max="4916" width="12" bestFit="1" customWidth="1"/>
    <col min="4917" max="4918" width="11.5703125" bestFit="1" customWidth="1"/>
    <col min="4919" max="4920" width="2.28515625" customWidth="1"/>
    <col min="4921" max="4921" width="5.7109375" customWidth="1"/>
    <col min="4922" max="4922" width="26.140625" customWidth="1"/>
    <col min="4928" max="4928" width="3.28515625" customWidth="1"/>
    <col min="5164" max="5164" width="30.85546875" customWidth="1"/>
    <col min="5165" max="5165" width="2.28515625" customWidth="1"/>
    <col min="5166" max="5166" width="2.7109375" customWidth="1"/>
    <col min="5167" max="5167" width="6.85546875" customWidth="1"/>
    <col min="5168" max="5168" width="31.5703125" bestFit="1" customWidth="1"/>
    <col min="5169" max="5169" width="21.42578125" customWidth="1"/>
    <col min="5170" max="5172" width="12" bestFit="1" customWidth="1"/>
    <col min="5173" max="5174" width="11.5703125" bestFit="1" customWidth="1"/>
    <col min="5175" max="5176" width="2.28515625" customWidth="1"/>
    <col min="5177" max="5177" width="5.7109375" customWidth="1"/>
    <col min="5178" max="5178" width="26.140625" customWidth="1"/>
    <col min="5184" max="5184" width="3.28515625" customWidth="1"/>
    <col min="5420" max="5420" width="30.85546875" customWidth="1"/>
    <col min="5421" max="5421" width="2.28515625" customWidth="1"/>
    <col min="5422" max="5422" width="2.7109375" customWidth="1"/>
    <col min="5423" max="5423" width="6.85546875" customWidth="1"/>
    <col min="5424" max="5424" width="31.5703125" bestFit="1" customWidth="1"/>
    <col min="5425" max="5425" width="21.42578125" customWidth="1"/>
    <col min="5426" max="5428" width="12" bestFit="1" customWidth="1"/>
    <col min="5429" max="5430" width="11.5703125" bestFit="1" customWidth="1"/>
    <col min="5431" max="5432" width="2.28515625" customWidth="1"/>
    <col min="5433" max="5433" width="5.7109375" customWidth="1"/>
    <col min="5434" max="5434" width="26.140625" customWidth="1"/>
    <col min="5440" max="5440" width="3.28515625" customWidth="1"/>
    <col min="5676" max="5676" width="30.85546875" customWidth="1"/>
    <col min="5677" max="5677" width="2.28515625" customWidth="1"/>
    <col min="5678" max="5678" width="2.7109375" customWidth="1"/>
    <col min="5679" max="5679" width="6.85546875" customWidth="1"/>
    <col min="5680" max="5680" width="31.5703125" bestFit="1" customWidth="1"/>
    <col min="5681" max="5681" width="21.42578125" customWidth="1"/>
    <col min="5682" max="5684" width="12" bestFit="1" customWidth="1"/>
    <col min="5685" max="5686" width="11.5703125" bestFit="1" customWidth="1"/>
    <col min="5687" max="5688" width="2.28515625" customWidth="1"/>
    <col min="5689" max="5689" width="5.7109375" customWidth="1"/>
    <col min="5690" max="5690" width="26.140625" customWidth="1"/>
    <col min="5696" max="5696" width="3.28515625" customWidth="1"/>
    <col min="5932" max="5932" width="30.85546875" customWidth="1"/>
    <col min="5933" max="5933" width="2.28515625" customWidth="1"/>
    <col min="5934" max="5934" width="2.7109375" customWidth="1"/>
    <col min="5935" max="5935" width="6.85546875" customWidth="1"/>
    <col min="5936" max="5936" width="31.5703125" bestFit="1" customWidth="1"/>
    <col min="5937" max="5937" width="21.42578125" customWidth="1"/>
    <col min="5938" max="5940" width="12" bestFit="1" customWidth="1"/>
    <col min="5941" max="5942" width="11.5703125" bestFit="1" customWidth="1"/>
    <col min="5943" max="5944" width="2.28515625" customWidth="1"/>
    <col min="5945" max="5945" width="5.7109375" customWidth="1"/>
    <col min="5946" max="5946" width="26.140625" customWidth="1"/>
    <col min="5952" max="5952" width="3.28515625" customWidth="1"/>
    <col min="6188" max="6188" width="30.85546875" customWidth="1"/>
    <col min="6189" max="6189" width="2.28515625" customWidth="1"/>
    <col min="6190" max="6190" width="2.7109375" customWidth="1"/>
    <col min="6191" max="6191" width="6.85546875" customWidth="1"/>
    <col min="6192" max="6192" width="31.5703125" bestFit="1" customWidth="1"/>
    <col min="6193" max="6193" width="21.42578125" customWidth="1"/>
    <col min="6194" max="6196" width="12" bestFit="1" customWidth="1"/>
    <col min="6197" max="6198" width="11.5703125" bestFit="1" customWidth="1"/>
    <col min="6199" max="6200" width="2.28515625" customWidth="1"/>
    <col min="6201" max="6201" width="5.7109375" customWidth="1"/>
    <col min="6202" max="6202" width="26.140625" customWidth="1"/>
    <col min="6208" max="6208" width="3.28515625" customWidth="1"/>
    <col min="6444" max="6444" width="30.85546875" customWidth="1"/>
    <col min="6445" max="6445" width="2.28515625" customWidth="1"/>
    <col min="6446" max="6446" width="2.7109375" customWidth="1"/>
    <col min="6447" max="6447" width="6.85546875" customWidth="1"/>
    <col min="6448" max="6448" width="31.5703125" bestFit="1" customWidth="1"/>
    <col min="6449" max="6449" width="21.42578125" customWidth="1"/>
    <col min="6450" max="6452" width="12" bestFit="1" customWidth="1"/>
    <col min="6453" max="6454" width="11.5703125" bestFit="1" customWidth="1"/>
    <col min="6455" max="6456" width="2.28515625" customWidth="1"/>
    <col min="6457" max="6457" width="5.7109375" customWidth="1"/>
    <col min="6458" max="6458" width="26.140625" customWidth="1"/>
    <col min="6464" max="6464" width="3.28515625" customWidth="1"/>
    <col min="6700" max="6700" width="30.85546875" customWidth="1"/>
    <col min="6701" max="6701" width="2.28515625" customWidth="1"/>
    <col min="6702" max="6702" width="2.7109375" customWidth="1"/>
    <col min="6703" max="6703" width="6.85546875" customWidth="1"/>
    <col min="6704" max="6704" width="31.5703125" bestFit="1" customWidth="1"/>
    <col min="6705" max="6705" width="21.42578125" customWidth="1"/>
    <col min="6706" max="6708" width="12" bestFit="1" customWidth="1"/>
    <col min="6709" max="6710" width="11.5703125" bestFit="1" customWidth="1"/>
    <col min="6711" max="6712" width="2.28515625" customWidth="1"/>
    <col min="6713" max="6713" width="5.7109375" customWidth="1"/>
    <col min="6714" max="6714" width="26.140625" customWidth="1"/>
    <col min="6720" max="6720" width="3.28515625" customWidth="1"/>
    <col min="6956" max="6956" width="30.85546875" customWidth="1"/>
    <col min="6957" max="6957" width="2.28515625" customWidth="1"/>
    <col min="6958" max="6958" width="2.7109375" customWidth="1"/>
    <col min="6959" max="6959" width="6.85546875" customWidth="1"/>
    <col min="6960" max="6960" width="31.5703125" bestFit="1" customWidth="1"/>
    <col min="6961" max="6961" width="21.42578125" customWidth="1"/>
    <col min="6962" max="6964" width="12" bestFit="1" customWidth="1"/>
    <col min="6965" max="6966" width="11.5703125" bestFit="1" customWidth="1"/>
    <col min="6967" max="6968" width="2.28515625" customWidth="1"/>
    <col min="6969" max="6969" width="5.7109375" customWidth="1"/>
    <col min="6970" max="6970" width="26.140625" customWidth="1"/>
    <col min="6976" max="6976" width="3.28515625" customWidth="1"/>
    <col min="7212" max="7212" width="30.85546875" customWidth="1"/>
    <col min="7213" max="7213" width="2.28515625" customWidth="1"/>
    <col min="7214" max="7214" width="2.7109375" customWidth="1"/>
    <col min="7215" max="7215" width="6.85546875" customWidth="1"/>
    <col min="7216" max="7216" width="31.5703125" bestFit="1" customWidth="1"/>
    <col min="7217" max="7217" width="21.42578125" customWidth="1"/>
    <col min="7218" max="7220" width="12" bestFit="1" customWidth="1"/>
    <col min="7221" max="7222" width="11.5703125" bestFit="1" customWidth="1"/>
    <col min="7223" max="7224" width="2.28515625" customWidth="1"/>
    <col min="7225" max="7225" width="5.7109375" customWidth="1"/>
    <col min="7226" max="7226" width="26.140625" customWidth="1"/>
    <col min="7232" max="7232" width="3.28515625" customWidth="1"/>
    <col min="7468" max="7468" width="30.85546875" customWidth="1"/>
    <col min="7469" max="7469" width="2.28515625" customWidth="1"/>
    <col min="7470" max="7470" width="2.7109375" customWidth="1"/>
    <col min="7471" max="7471" width="6.85546875" customWidth="1"/>
    <col min="7472" max="7472" width="31.5703125" bestFit="1" customWidth="1"/>
    <col min="7473" max="7473" width="21.42578125" customWidth="1"/>
    <col min="7474" max="7476" width="12" bestFit="1" customWidth="1"/>
    <col min="7477" max="7478" width="11.5703125" bestFit="1" customWidth="1"/>
    <col min="7479" max="7480" width="2.28515625" customWidth="1"/>
    <col min="7481" max="7481" width="5.7109375" customWidth="1"/>
    <col min="7482" max="7482" width="26.140625" customWidth="1"/>
    <col min="7488" max="7488" width="3.28515625" customWidth="1"/>
    <col min="7724" max="7724" width="30.85546875" customWidth="1"/>
    <col min="7725" max="7725" width="2.28515625" customWidth="1"/>
    <col min="7726" max="7726" width="2.7109375" customWidth="1"/>
    <col min="7727" max="7727" width="6.85546875" customWidth="1"/>
    <col min="7728" max="7728" width="31.5703125" bestFit="1" customWidth="1"/>
    <col min="7729" max="7729" width="21.42578125" customWidth="1"/>
    <col min="7730" max="7732" width="12" bestFit="1" customWidth="1"/>
    <col min="7733" max="7734" width="11.5703125" bestFit="1" customWidth="1"/>
    <col min="7735" max="7736" width="2.28515625" customWidth="1"/>
    <col min="7737" max="7737" width="5.7109375" customWidth="1"/>
    <col min="7738" max="7738" width="26.140625" customWidth="1"/>
    <col min="7744" max="7744" width="3.28515625" customWidth="1"/>
    <col min="7980" max="7980" width="30.85546875" customWidth="1"/>
    <col min="7981" max="7981" width="2.28515625" customWidth="1"/>
    <col min="7982" max="7982" width="2.7109375" customWidth="1"/>
    <col min="7983" max="7983" width="6.85546875" customWidth="1"/>
    <col min="7984" max="7984" width="31.5703125" bestFit="1" customWidth="1"/>
    <col min="7985" max="7985" width="21.42578125" customWidth="1"/>
    <col min="7986" max="7988" width="12" bestFit="1" customWidth="1"/>
    <col min="7989" max="7990" width="11.5703125" bestFit="1" customWidth="1"/>
    <col min="7991" max="7992" width="2.28515625" customWidth="1"/>
    <col min="7993" max="7993" width="5.7109375" customWidth="1"/>
    <col min="7994" max="7994" width="26.140625" customWidth="1"/>
    <col min="8000" max="8000" width="3.28515625" customWidth="1"/>
    <col min="8236" max="8236" width="30.85546875" customWidth="1"/>
    <col min="8237" max="8237" width="2.28515625" customWidth="1"/>
    <col min="8238" max="8238" width="2.7109375" customWidth="1"/>
    <col min="8239" max="8239" width="6.85546875" customWidth="1"/>
    <col min="8240" max="8240" width="31.5703125" bestFit="1" customWidth="1"/>
    <col min="8241" max="8241" width="21.42578125" customWidth="1"/>
    <col min="8242" max="8244" width="12" bestFit="1" customWidth="1"/>
    <col min="8245" max="8246" width="11.5703125" bestFit="1" customWidth="1"/>
    <col min="8247" max="8248" width="2.28515625" customWidth="1"/>
    <col min="8249" max="8249" width="5.7109375" customWidth="1"/>
    <col min="8250" max="8250" width="26.140625" customWidth="1"/>
    <col min="8256" max="8256" width="3.28515625" customWidth="1"/>
    <col min="8492" max="8492" width="30.85546875" customWidth="1"/>
    <col min="8493" max="8493" width="2.28515625" customWidth="1"/>
    <col min="8494" max="8494" width="2.7109375" customWidth="1"/>
    <col min="8495" max="8495" width="6.85546875" customWidth="1"/>
    <col min="8496" max="8496" width="31.5703125" bestFit="1" customWidth="1"/>
    <col min="8497" max="8497" width="21.42578125" customWidth="1"/>
    <col min="8498" max="8500" width="12" bestFit="1" customWidth="1"/>
    <col min="8501" max="8502" width="11.5703125" bestFit="1" customWidth="1"/>
    <col min="8503" max="8504" width="2.28515625" customWidth="1"/>
    <col min="8505" max="8505" width="5.7109375" customWidth="1"/>
    <col min="8506" max="8506" width="26.140625" customWidth="1"/>
    <col min="8512" max="8512" width="3.28515625" customWidth="1"/>
    <col min="8748" max="8748" width="30.85546875" customWidth="1"/>
    <col min="8749" max="8749" width="2.28515625" customWidth="1"/>
    <col min="8750" max="8750" width="2.7109375" customWidth="1"/>
    <col min="8751" max="8751" width="6.85546875" customWidth="1"/>
    <col min="8752" max="8752" width="31.5703125" bestFit="1" customWidth="1"/>
    <col min="8753" max="8753" width="21.42578125" customWidth="1"/>
    <col min="8754" max="8756" width="12" bestFit="1" customWidth="1"/>
    <col min="8757" max="8758" width="11.5703125" bestFit="1" customWidth="1"/>
    <col min="8759" max="8760" width="2.28515625" customWidth="1"/>
    <col min="8761" max="8761" width="5.7109375" customWidth="1"/>
    <col min="8762" max="8762" width="26.140625" customWidth="1"/>
    <col min="8768" max="8768" width="3.28515625" customWidth="1"/>
    <col min="9004" max="9004" width="30.85546875" customWidth="1"/>
    <col min="9005" max="9005" width="2.28515625" customWidth="1"/>
    <col min="9006" max="9006" width="2.7109375" customWidth="1"/>
    <col min="9007" max="9007" width="6.85546875" customWidth="1"/>
    <col min="9008" max="9008" width="31.5703125" bestFit="1" customWidth="1"/>
    <col min="9009" max="9009" width="21.42578125" customWidth="1"/>
    <col min="9010" max="9012" width="12" bestFit="1" customWidth="1"/>
    <col min="9013" max="9014" width="11.5703125" bestFit="1" customWidth="1"/>
    <col min="9015" max="9016" width="2.28515625" customWidth="1"/>
    <col min="9017" max="9017" width="5.7109375" customWidth="1"/>
    <col min="9018" max="9018" width="26.140625" customWidth="1"/>
    <col min="9024" max="9024" width="3.28515625" customWidth="1"/>
    <col min="9260" max="9260" width="30.85546875" customWidth="1"/>
    <col min="9261" max="9261" width="2.28515625" customWidth="1"/>
    <col min="9262" max="9262" width="2.7109375" customWidth="1"/>
    <col min="9263" max="9263" width="6.85546875" customWidth="1"/>
    <col min="9264" max="9264" width="31.5703125" bestFit="1" customWidth="1"/>
    <col min="9265" max="9265" width="21.42578125" customWidth="1"/>
    <col min="9266" max="9268" width="12" bestFit="1" customWidth="1"/>
    <col min="9269" max="9270" width="11.5703125" bestFit="1" customWidth="1"/>
    <col min="9271" max="9272" width="2.28515625" customWidth="1"/>
    <col min="9273" max="9273" width="5.7109375" customWidth="1"/>
    <col min="9274" max="9274" width="26.140625" customWidth="1"/>
    <col min="9280" max="9280" width="3.28515625" customWidth="1"/>
    <col min="9516" max="9516" width="30.85546875" customWidth="1"/>
    <col min="9517" max="9517" width="2.28515625" customWidth="1"/>
    <col min="9518" max="9518" width="2.7109375" customWidth="1"/>
    <col min="9519" max="9519" width="6.85546875" customWidth="1"/>
    <col min="9520" max="9520" width="31.5703125" bestFit="1" customWidth="1"/>
    <col min="9521" max="9521" width="21.42578125" customWidth="1"/>
    <col min="9522" max="9524" width="12" bestFit="1" customWidth="1"/>
    <col min="9525" max="9526" width="11.5703125" bestFit="1" customWidth="1"/>
    <col min="9527" max="9528" width="2.28515625" customWidth="1"/>
    <col min="9529" max="9529" width="5.7109375" customWidth="1"/>
    <col min="9530" max="9530" width="26.140625" customWidth="1"/>
    <col min="9536" max="9536" width="3.28515625" customWidth="1"/>
    <col min="9772" max="9772" width="30.85546875" customWidth="1"/>
    <col min="9773" max="9773" width="2.28515625" customWidth="1"/>
    <col min="9774" max="9774" width="2.7109375" customWidth="1"/>
    <col min="9775" max="9775" width="6.85546875" customWidth="1"/>
    <col min="9776" max="9776" width="31.5703125" bestFit="1" customWidth="1"/>
    <col min="9777" max="9777" width="21.42578125" customWidth="1"/>
    <col min="9778" max="9780" width="12" bestFit="1" customWidth="1"/>
    <col min="9781" max="9782" width="11.5703125" bestFit="1" customWidth="1"/>
    <col min="9783" max="9784" width="2.28515625" customWidth="1"/>
    <col min="9785" max="9785" width="5.7109375" customWidth="1"/>
    <col min="9786" max="9786" width="26.140625" customWidth="1"/>
    <col min="9792" max="9792" width="3.28515625" customWidth="1"/>
    <col min="10028" max="10028" width="30.85546875" customWidth="1"/>
    <col min="10029" max="10029" width="2.28515625" customWidth="1"/>
    <col min="10030" max="10030" width="2.7109375" customWidth="1"/>
    <col min="10031" max="10031" width="6.85546875" customWidth="1"/>
    <col min="10032" max="10032" width="31.5703125" bestFit="1" customWidth="1"/>
    <col min="10033" max="10033" width="21.42578125" customWidth="1"/>
    <col min="10034" max="10036" width="12" bestFit="1" customWidth="1"/>
    <col min="10037" max="10038" width="11.5703125" bestFit="1" customWidth="1"/>
    <col min="10039" max="10040" width="2.28515625" customWidth="1"/>
    <col min="10041" max="10041" width="5.7109375" customWidth="1"/>
    <col min="10042" max="10042" width="26.140625" customWidth="1"/>
    <col min="10048" max="10048" width="3.28515625" customWidth="1"/>
    <col min="10284" max="10284" width="30.85546875" customWidth="1"/>
    <col min="10285" max="10285" width="2.28515625" customWidth="1"/>
    <col min="10286" max="10286" width="2.7109375" customWidth="1"/>
    <col min="10287" max="10287" width="6.85546875" customWidth="1"/>
    <col min="10288" max="10288" width="31.5703125" bestFit="1" customWidth="1"/>
    <col min="10289" max="10289" width="21.42578125" customWidth="1"/>
    <col min="10290" max="10292" width="12" bestFit="1" customWidth="1"/>
    <col min="10293" max="10294" width="11.5703125" bestFit="1" customWidth="1"/>
    <col min="10295" max="10296" width="2.28515625" customWidth="1"/>
    <col min="10297" max="10297" width="5.7109375" customWidth="1"/>
    <col min="10298" max="10298" width="26.140625" customWidth="1"/>
    <col min="10304" max="10304" width="3.28515625" customWidth="1"/>
    <col min="10540" max="10540" width="30.85546875" customWidth="1"/>
    <col min="10541" max="10541" width="2.28515625" customWidth="1"/>
    <col min="10542" max="10542" width="2.7109375" customWidth="1"/>
    <col min="10543" max="10543" width="6.85546875" customWidth="1"/>
    <col min="10544" max="10544" width="31.5703125" bestFit="1" customWidth="1"/>
    <col min="10545" max="10545" width="21.42578125" customWidth="1"/>
    <col min="10546" max="10548" width="12" bestFit="1" customWidth="1"/>
    <col min="10549" max="10550" width="11.5703125" bestFit="1" customWidth="1"/>
    <col min="10551" max="10552" width="2.28515625" customWidth="1"/>
    <col min="10553" max="10553" width="5.7109375" customWidth="1"/>
    <col min="10554" max="10554" width="26.140625" customWidth="1"/>
    <col min="10560" max="10560" width="3.28515625" customWidth="1"/>
    <col min="10796" max="10796" width="30.85546875" customWidth="1"/>
    <col min="10797" max="10797" width="2.28515625" customWidth="1"/>
    <col min="10798" max="10798" width="2.7109375" customWidth="1"/>
    <col min="10799" max="10799" width="6.85546875" customWidth="1"/>
    <col min="10800" max="10800" width="31.5703125" bestFit="1" customWidth="1"/>
    <col min="10801" max="10801" width="21.42578125" customWidth="1"/>
    <col min="10802" max="10804" width="12" bestFit="1" customWidth="1"/>
    <col min="10805" max="10806" width="11.5703125" bestFit="1" customWidth="1"/>
    <col min="10807" max="10808" width="2.28515625" customWidth="1"/>
    <col min="10809" max="10809" width="5.7109375" customWidth="1"/>
    <col min="10810" max="10810" width="26.140625" customWidth="1"/>
    <col min="10816" max="10816" width="3.28515625" customWidth="1"/>
    <col min="11052" max="11052" width="30.85546875" customWidth="1"/>
    <col min="11053" max="11053" width="2.28515625" customWidth="1"/>
    <col min="11054" max="11054" width="2.7109375" customWidth="1"/>
    <col min="11055" max="11055" width="6.85546875" customWidth="1"/>
    <col min="11056" max="11056" width="31.5703125" bestFit="1" customWidth="1"/>
    <col min="11057" max="11057" width="21.42578125" customWidth="1"/>
    <col min="11058" max="11060" width="12" bestFit="1" customWidth="1"/>
    <col min="11061" max="11062" width="11.5703125" bestFit="1" customWidth="1"/>
    <col min="11063" max="11064" width="2.28515625" customWidth="1"/>
    <col min="11065" max="11065" width="5.7109375" customWidth="1"/>
    <col min="11066" max="11066" width="26.140625" customWidth="1"/>
    <col min="11072" max="11072" width="3.28515625" customWidth="1"/>
    <col min="11308" max="11308" width="30.85546875" customWidth="1"/>
    <col min="11309" max="11309" width="2.28515625" customWidth="1"/>
    <col min="11310" max="11310" width="2.7109375" customWidth="1"/>
    <col min="11311" max="11311" width="6.85546875" customWidth="1"/>
    <col min="11312" max="11312" width="31.5703125" bestFit="1" customWidth="1"/>
    <col min="11313" max="11313" width="21.42578125" customWidth="1"/>
    <col min="11314" max="11316" width="12" bestFit="1" customWidth="1"/>
    <col min="11317" max="11318" width="11.5703125" bestFit="1" customWidth="1"/>
    <col min="11319" max="11320" width="2.28515625" customWidth="1"/>
    <col min="11321" max="11321" width="5.7109375" customWidth="1"/>
    <col min="11322" max="11322" width="26.140625" customWidth="1"/>
    <col min="11328" max="11328" width="3.28515625" customWidth="1"/>
    <col min="11564" max="11564" width="30.85546875" customWidth="1"/>
    <col min="11565" max="11565" width="2.28515625" customWidth="1"/>
    <col min="11566" max="11566" width="2.7109375" customWidth="1"/>
    <col min="11567" max="11567" width="6.85546875" customWidth="1"/>
    <col min="11568" max="11568" width="31.5703125" bestFit="1" customWidth="1"/>
    <col min="11569" max="11569" width="21.42578125" customWidth="1"/>
    <col min="11570" max="11572" width="12" bestFit="1" customWidth="1"/>
    <col min="11573" max="11574" width="11.5703125" bestFit="1" customWidth="1"/>
    <col min="11575" max="11576" width="2.28515625" customWidth="1"/>
    <col min="11577" max="11577" width="5.7109375" customWidth="1"/>
    <col min="11578" max="11578" width="26.140625" customWidth="1"/>
    <col min="11584" max="11584" width="3.28515625" customWidth="1"/>
    <col min="11820" max="11820" width="30.85546875" customWidth="1"/>
    <col min="11821" max="11821" width="2.28515625" customWidth="1"/>
    <col min="11822" max="11822" width="2.7109375" customWidth="1"/>
    <col min="11823" max="11823" width="6.85546875" customWidth="1"/>
    <col min="11824" max="11824" width="31.5703125" bestFit="1" customWidth="1"/>
    <col min="11825" max="11825" width="21.42578125" customWidth="1"/>
    <col min="11826" max="11828" width="12" bestFit="1" customWidth="1"/>
    <col min="11829" max="11830" width="11.5703125" bestFit="1" customWidth="1"/>
    <col min="11831" max="11832" width="2.28515625" customWidth="1"/>
    <col min="11833" max="11833" width="5.7109375" customWidth="1"/>
    <col min="11834" max="11834" width="26.140625" customWidth="1"/>
    <col min="11840" max="11840" width="3.28515625" customWidth="1"/>
    <col min="12076" max="12076" width="30.85546875" customWidth="1"/>
    <col min="12077" max="12077" width="2.28515625" customWidth="1"/>
    <col min="12078" max="12078" width="2.7109375" customWidth="1"/>
    <col min="12079" max="12079" width="6.85546875" customWidth="1"/>
    <col min="12080" max="12080" width="31.5703125" bestFit="1" customWidth="1"/>
    <col min="12081" max="12081" width="21.42578125" customWidth="1"/>
    <col min="12082" max="12084" width="12" bestFit="1" customWidth="1"/>
    <col min="12085" max="12086" width="11.5703125" bestFit="1" customWidth="1"/>
    <col min="12087" max="12088" width="2.28515625" customWidth="1"/>
    <col min="12089" max="12089" width="5.7109375" customWidth="1"/>
    <col min="12090" max="12090" width="26.140625" customWidth="1"/>
    <col min="12096" max="12096" width="3.28515625" customWidth="1"/>
    <col min="12332" max="12332" width="30.85546875" customWidth="1"/>
    <col min="12333" max="12333" width="2.28515625" customWidth="1"/>
    <col min="12334" max="12334" width="2.7109375" customWidth="1"/>
    <col min="12335" max="12335" width="6.85546875" customWidth="1"/>
    <col min="12336" max="12336" width="31.5703125" bestFit="1" customWidth="1"/>
    <col min="12337" max="12337" width="21.42578125" customWidth="1"/>
    <col min="12338" max="12340" width="12" bestFit="1" customWidth="1"/>
    <col min="12341" max="12342" width="11.5703125" bestFit="1" customWidth="1"/>
    <col min="12343" max="12344" width="2.28515625" customWidth="1"/>
    <col min="12345" max="12345" width="5.7109375" customWidth="1"/>
    <col min="12346" max="12346" width="26.140625" customWidth="1"/>
    <col min="12352" max="12352" width="3.28515625" customWidth="1"/>
    <col min="12588" max="12588" width="30.85546875" customWidth="1"/>
    <col min="12589" max="12589" width="2.28515625" customWidth="1"/>
    <col min="12590" max="12590" width="2.7109375" customWidth="1"/>
    <col min="12591" max="12591" width="6.85546875" customWidth="1"/>
    <col min="12592" max="12592" width="31.5703125" bestFit="1" customWidth="1"/>
    <col min="12593" max="12593" width="21.42578125" customWidth="1"/>
    <col min="12594" max="12596" width="12" bestFit="1" customWidth="1"/>
    <col min="12597" max="12598" width="11.5703125" bestFit="1" customWidth="1"/>
    <col min="12599" max="12600" width="2.28515625" customWidth="1"/>
    <col min="12601" max="12601" width="5.7109375" customWidth="1"/>
    <col min="12602" max="12602" width="26.140625" customWidth="1"/>
    <col min="12608" max="12608" width="3.28515625" customWidth="1"/>
    <col min="12844" max="12844" width="30.85546875" customWidth="1"/>
    <col min="12845" max="12845" width="2.28515625" customWidth="1"/>
    <col min="12846" max="12846" width="2.7109375" customWidth="1"/>
    <col min="12847" max="12847" width="6.85546875" customWidth="1"/>
    <col min="12848" max="12848" width="31.5703125" bestFit="1" customWidth="1"/>
    <col min="12849" max="12849" width="21.42578125" customWidth="1"/>
    <col min="12850" max="12852" width="12" bestFit="1" customWidth="1"/>
    <col min="12853" max="12854" width="11.5703125" bestFit="1" customWidth="1"/>
    <col min="12855" max="12856" width="2.28515625" customWidth="1"/>
    <col min="12857" max="12857" width="5.7109375" customWidth="1"/>
    <col min="12858" max="12858" width="26.140625" customWidth="1"/>
    <col min="12864" max="12864" width="3.28515625" customWidth="1"/>
    <col min="13100" max="13100" width="30.85546875" customWidth="1"/>
    <col min="13101" max="13101" width="2.28515625" customWidth="1"/>
    <col min="13102" max="13102" width="2.7109375" customWidth="1"/>
    <col min="13103" max="13103" width="6.85546875" customWidth="1"/>
    <col min="13104" max="13104" width="31.5703125" bestFit="1" customWidth="1"/>
    <col min="13105" max="13105" width="21.42578125" customWidth="1"/>
    <col min="13106" max="13108" width="12" bestFit="1" customWidth="1"/>
    <col min="13109" max="13110" width="11.5703125" bestFit="1" customWidth="1"/>
    <col min="13111" max="13112" width="2.28515625" customWidth="1"/>
    <col min="13113" max="13113" width="5.7109375" customWidth="1"/>
    <col min="13114" max="13114" width="26.140625" customWidth="1"/>
    <col min="13120" max="13120" width="3.28515625" customWidth="1"/>
    <col min="13356" max="13356" width="30.85546875" customWidth="1"/>
    <col min="13357" max="13357" width="2.28515625" customWidth="1"/>
    <col min="13358" max="13358" width="2.7109375" customWidth="1"/>
    <col min="13359" max="13359" width="6.85546875" customWidth="1"/>
    <col min="13360" max="13360" width="31.5703125" bestFit="1" customWidth="1"/>
    <col min="13361" max="13361" width="21.42578125" customWidth="1"/>
    <col min="13362" max="13364" width="12" bestFit="1" customWidth="1"/>
    <col min="13365" max="13366" width="11.5703125" bestFit="1" customWidth="1"/>
    <col min="13367" max="13368" width="2.28515625" customWidth="1"/>
    <col min="13369" max="13369" width="5.7109375" customWidth="1"/>
    <col min="13370" max="13370" width="26.140625" customWidth="1"/>
    <col min="13376" max="13376" width="3.28515625" customWidth="1"/>
    <col min="13612" max="13612" width="30.85546875" customWidth="1"/>
    <col min="13613" max="13613" width="2.28515625" customWidth="1"/>
    <col min="13614" max="13614" width="2.7109375" customWidth="1"/>
    <col min="13615" max="13615" width="6.85546875" customWidth="1"/>
    <col min="13616" max="13616" width="31.5703125" bestFit="1" customWidth="1"/>
    <col min="13617" max="13617" width="21.42578125" customWidth="1"/>
    <col min="13618" max="13620" width="12" bestFit="1" customWidth="1"/>
    <col min="13621" max="13622" width="11.5703125" bestFit="1" customWidth="1"/>
    <col min="13623" max="13624" width="2.28515625" customWidth="1"/>
    <col min="13625" max="13625" width="5.7109375" customWidth="1"/>
    <col min="13626" max="13626" width="26.140625" customWidth="1"/>
    <col min="13632" max="13632" width="3.28515625" customWidth="1"/>
    <col min="13868" max="13868" width="30.85546875" customWidth="1"/>
    <col min="13869" max="13869" width="2.28515625" customWidth="1"/>
    <col min="13870" max="13870" width="2.7109375" customWidth="1"/>
    <col min="13871" max="13871" width="6.85546875" customWidth="1"/>
    <col min="13872" max="13872" width="31.5703125" bestFit="1" customWidth="1"/>
    <col min="13873" max="13873" width="21.42578125" customWidth="1"/>
    <col min="13874" max="13876" width="12" bestFit="1" customWidth="1"/>
    <col min="13877" max="13878" width="11.5703125" bestFit="1" customWidth="1"/>
    <col min="13879" max="13880" width="2.28515625" customWidth="1"/>
    <col min="13881" max="13881" width="5.7109375" customWidth="1"/>
    <col min="13882" max="13882" width="26.140625" customWidth="1"/>
    <col min="13888" max="13888" width="3.28515625" customWidth="1"/>
    <col min="14124" max="14124" width="30.85546875" customWidth="1"/>
    <col min="14125" max="14125" width="2.28515625" customWidth="1"/>
    <col min="14126" max="14126" width="2.7109375" customWidth="1"/>
    <col min="14127" max="14127" width="6.85546875" customWidth="1"/>
    <col min="14128" max="14128" width="31.5703125" bestFit="1" customWidth="1"/>
    <col min="14129" max="14129" width="21.42578125" customWidth="1"/>
    <col min="14130" max="14132" width="12" bestFit="1" customWidth="1"/>
    <col min="14133" max="14134" width="11.5703125" bestFit="1" customWidth="1"/>
    <col min="14135" max="14136" width="2.28515625" customWidth="1"/>
    <col min="14137" max="14137" width="5.7109375" customWidth="1"/>
    <col min="14138" max="14138" width="26.140625" customWidth="1"/>
    <col min="14144" max="14144" width="3.28515625" customWidth="1"/>
    <col min="14380" max="14380" width="30.85546875" customWidth="1"/>
    <col min="14381" max="14381" width="2.28515625" customWidth="1"/>
    <col min="14382" max="14382" width="2.7109375" customWidth="1"/>
    <col min="14383" max="14383" width="6.85546875" customWidth="1"/>
    <col min="14384" max="14384" width="31.5703125" bestFit="1" customWidth="1"/>
    <col min="14385" max="14385" width="21.42578125" customWidth="1"/>
    <col min="14386" max="14388" width="12" bestFit="1" customWidth="1"/>
    <col min="14389" max="14390" width="11.5703125" bestFit="1" customWidth="1"/>
    <col min="14391" max="14392" width="2.28515625" customWidth="1"/>
    <col min="14393" max="14393" width="5.7109375" customWidth="1"/>
    <col min="14394" max="14394" width="26.140625" customWidth="1"/>
    <col min="14400" max="14400" width="3.28515625" customWidth="1"/>
    <col min="14636" max="14636" width="30.85546875" customWidth="1"/>
    <col min="14637" max="14637" width="2.28515625" customWidth="1"/>
    <col min="14638" max="14638" width="2.7109375" customWidth="1"/>
    <col min="14639" max="14639" width="6.85546875" customWidth="1"/>
    <col min="14640" max="14640" width="31.5703125" bestFit="1" customWidth="1"/>
    <col min="14641" max="14641" width="21.42578125" customWidth="1"/>
    <col min="14642" max="14644" width="12" bestFit="1" customWidth="1"/>
    <col min="14645" max="14646" width="11.5703125" bestFit="1" customWidth="1"/>
    <col min="14647" max="14648" width="2.28515625" customWidth="1"/>
    <col min="14649" max="14649" width="5.7109375" customWidth="1"/>
    <col min="14650" max="14650" width="26.140625" customWidth="1"/>
    <col min="14656" max="14656" width="3.28515625" customWidth="1"/>
    <col min="14892" max="14892" width="30.85546875" customWidth="1"/>
    <col min="14893" max="14893" width="2.28515625" customWidth="1"/>
    <col min="14894" max="14894" width="2.7109375" customWidth="1"/>
    <col min="14895" max="14895" width="6.85546875" customWidth="1"/>
    <col min="14896" max="14896" width="31.5703125" bestFit="1" customWidth="1"/>
    <col min="14897" max="14897" width="21.42578125" customWidth="1"/>
    <col min="14898" max="14900" width="12" bestFit="1" customWidth="1"/>
    <col min="14901" max="14902" width="11.5703125" bestFit="1" customWidth="1"/>
    <col min="14903" max="14904" width="2.28515625" customWidth="1"/>
    <col min="14905" max="14905" width="5.7109375" customWidth="1"/>
    <col min="14906" max="14906" width="26.140625" customWidth="1"/>
    <col min="14912" max="14912" width="3.28515625" customWidth="1"/>
    <col min="15148" max="15148" width="30.85546875" customWidth="1"/>
    <col min="15149" max="15149" width="2.28515625" customWidth="1"/>
    <col min="15150" max="15150" width="2.7109375" customWidth="1"/>
    <col min="15151" max="15151" width="6.85546875" customWidth="1"/>
    <col min="15152" max="15152" width="31.5703125" bestFit="1" customWidth="1"/>
    <col min="15153" max="15153" width="21.42578125" customWidth="1"/>
    <col min="15154" max="15156" width="12" bestFit="1" customWidth="1"/>
    <col min="15157" max="15158" width="11.5703125" bestFit="1" customWidth="1"/>
    <col min="15159" max="15160" width="2.28515625" customWidth="1"/>
    <col min="15161" max="15161" width="5.7109375" customWidth="1"/>
    <col min="15162" max="15162" width="26.140625" customWidth="1"/>
    <col min="15168" max="15168" width="3.28515625" customWidth="1"/>
    <col min="15404" max="15404" width="30.85546875" customWidth="1"/>
    <col min="15405" max="15405" width="2.28515625" customWidth="1"/>
    <col min="15406" max="15406" width="2.7109375" customWidth="1"/>
    <col min="15407" max="15407" width="6.85546875" customWidth="1"/>
    <col min="15408" max="15408" width="31.5703125" bestFit="1" customWidth="1"/>
    <col min="15409" max="15409" width="21.42578125" customWidth="1"/>
    <col min="15410" max="15412" width="12" bestFit="1" customWidth="1"/>
    <col min="15413" max="15414" width="11.5703125" bestFit="1" customWidth="1"/>
    <col min="15415" max="15416" width="2.28515625" customWidth="1"/>
    <col min="15417" max="15417" width="5.7109375" customWidth="1"/>
    <col min="15418" max="15418" width="26.140625" customWidth="1"/>
    <col min="15424" max="15424" width="3.28515625" customWidth="1"/>
    <col min="15660" max="15660" width="30.85546875" customWidth="1"/>
    <col min="15661" max="15661" width="2.28515625" customWidth="1"/>
    <col min="15662" max="15662" width="2.7109375" customWidth="1"/>
    <col min="15663" max="15663" width="6.85546875" customWidth="1"/>
    <col min="15664" max="15664" width="31.5703125" bestFit="1" customWidth="1"/>
    <col min="15665" max="15665" width="21.42578125" customWidth="1"/>
    <col min="15666" max="15668" width="12" bestFit="1" customWidth="1"/>
    <col min="15669" max="15670" width="11.5703125" bestFit="1" customWidth="1"/>
    <col min="15671" max="15672" width="2.28515625" customWidth="1"/>
    <col min="15673" max="15673" width="5.7109375" customWidth="1"/>
    <col min="15674" max="15674" width="26.140625" customWidth="1"/>
    <col min="15680" max="15680" width="3.28515625" customWidth="1"/>
    <col min="15916" max="15916" width="30.85546875" customWidth="1"/>
    <col min="15917" max="15917" width="2.28515625" customWidth="1"/>
    <col min="15918" max="15918" width="2.7109375" customWidth="1"/>
    <col min="15919" max="15919" width="6.85546875" customWidth="1"/>
    <col min="15920" max="15920" width="31.5703125" bestFit="1" customWidth="1"/>
    <col min="15921" max="15921" width="21.42578125" customWidth="1"/>
    <col min="15922" max="15924" width="12" bestFit="1" customWidth="1"/>
    <col min="15925" max="15926" width="11.5703125" bestFit="1" customWidth="1"/>
    <col min="15927" max="15928" width="2.28515625" customWidth="1"/>
    <col min="15929" max="15929" width="5.7109375" customWidth="1"/>
    <col min="15930" max="15930" width="26.140625" customWidth="1"/>
    <col min="15936" max="15936" width="3.28515625" customWidth="1"/>
    <col min="16172" max="16172" width="30.85546875" customWidth="1"/>
    <col min="16173" max="16173" width="2.28515625" customWidth="1"/>
    <col min="16174" max="16174" width="2.7109375" customWidth="1"/>
    <col min="16175" max="16175" width="6.85546875" customWidth="1"/>
    <col min="16176" max="16176" width="31.5703125" bestFit="1" customWidth="1"/>
    <col min="16177" max="16177" width="21.42578125" customWidth="1"/>
    <col min="16178" max="16180" width="12" bestFit="1" customWidth="1"/>
    <col min="16181" max="16182" width="11.5703125" bestFit="1" customWidth="1"/>
    <col min="16183" max="16184" width="2.28515625" customWidth="1"/>
    <col min="16185" max="16185" width="5.7109375" customWidth="1"/>
    <col min="16186" max="16186" width="26.140625" customWidth="1"/>
    <col min="16192" max="16192" width="3.28515625" customWidth="1"/>
  </cols>
  <sheetData>
    <row r="1" spans="1:61">
      <c r="A1" t="s">
        <v>0</v>
      </c>
    </row>
    <row r="2" spans="1:61">
      <c r="K2" s="2" t="s">
        <v>1</v>
      </c>
      <c r="L2" s="2" t="s">
        <v>2</v>
      </c>
      <c r="M2" s="2" t="s">
        <v>3</v>
      </c>
      <c r="N2" s="2" t="s">
        <v>4</v>
      </c>
      <c r="BF2" s="2" t="s">
        <v>1</v>
      </c>
      <c r="BG2" s="2" t="s">
        <v>2</v>
      </c>
      <c r="BH2" s="2" t="s">
        <v>3</v>
      </c>
      <c r="BI2" s="2" t="s">
        <v>4</v>
      </c>
    </row>
    <row r="3" spans="1:61">
      <c r="K3" s="2">
        <v>84</v>
      </c>
      <c r="L3" s="2">
        <v>4505</v>
      </c>
      <c r="M3" s="2">
        <v>13.5</v>
      </c>
      <c r="N3" s="2">
        <v>13.51</v>
      </c>
      <c r="BF3" s="2">
        <v>84</v>
      </c>
      <c r="BG3" s="2">
        <v>4505</v>
      </c>
      <c r="BH3" s="2">
        <v>13.5</v>
      </c>
      <c r="BI3" s="2">
        <v>13.51</v>
      </c>
    </row>
    <row r="4" spans="1:61">
      <c r="K4" s="2">
        <v>162</v>
      </c>
      <c r="L4" s="2">
        <v>4232</v>
      </c>
      <c r="M4" s="2">
        <v>14</v>
      </c>
      <c r="N4" s="2">
        <v>18.47</v>
      </c>
      <c r="BF4" s="2">
        <v>162</v>
      </c>
      <c r="BG4" s="2">
        <v>4232</v>
      </c>
      <c r="BH4" s="2">
        <v>14</v>
      </c>
      <c r="BI4" s="2">
        <v>18.47</v>
      </c>
    </row>
    <row r="5" spans="1:61" s="3" customFormat="1" ht="18">
      <c r="C5" s="4"/>
      <c r="D5" s="3" t="s">
        <v>5</v>
      </c>
      <c r="F5" s="5"/>
      <c r="K5" s="2">
        <v>177</v>
      </c>
      <c r="L5" s="2">
        <v>4135</v>
      </c>
      <c r="M5" s="2">
        <v>15</v>
      </c>
      <c r="N5" s="2">
        <v>20.13</v>
      </c>
      <c r="BF5" s="2">
        <v>177</v>
      </c>
      <c r="BG5" s="2">
        <v>4135</v>
      </c>
      <c r="BH5" s="2">
        <v>15</v>
      </c>
      <c r="BI5" s="2">
        <v>20.13</v>
      </c>
    </row>
    <row r="8" spans="1:61">
      <c r="C8" s="6" t="s">
        <v>6</v>
      </c>
      <c r="F8" s="7" t="s">
        <v>7</v>
      </c>
      <c r="G8" s="155">
        <v>2010</v>
      </c>
      <c r="H8" s="155">
        <v>2011</v>
      </c>
      <c r="I8" s="155">
        <v>2012</v>
      </c>
      <c r="J8" s="8">
        <v>2013</v>
      </c>
      <c r="K8" s="8">
        <v>2014</v>
      </c>
      <c r="L8" s="8">
        <v>2015</v>
      </c>
      <c r="M8" s="8">
        <v>2016</v>
      </c>
      <c r="N8" s="8">
        <v>2017</v>
      </c>
      <c r="O8" s="8">
        <v>2018</v>
      </c>
      <c r="P8" s="8">
        <v>2019</v>
      </c>
      <c r="Q8" s="8">
        <v>2020</v>
      </c>
      <c r="R8" s="8">
        <v>2021</v>
      </c>
      <c r="S8" s="8">
        <v>2022</v>
      </c>
      <c r="T8" s="8">
        <v>2023</v>
      </c>
      <c r="U8" s="8">
        <v>2024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9">
        <v>2014</v>
      </c>
    </row>
    <row r="9" spans="1:61">
      <c r="C9" s="6"/>
      <c r="E9" s="10" t="s">
        <v>8</v>
      </c>
      <c r="F9" s="11" t="s">
        <v>9</v>
      </c>
      <c r="G9" s="156">
        <v>819</v>
      </c>
      <c r="H9" s="156">
        <v>815</v>
      </c>
      <c r="I9" s="156">
        <v>813</v>
      </c>
      <c r="J9" s="12">
        <v>811</v>
      </c>
      <c r="K9" s="12">
        <v>809</v>
      </c>
      <c r="L9" s="12">
        <v>808</v>
      </c>
      <c r="M9" s="12">
        <v>806</v>
      </c>
      <c r="N9" s="12">
        <v>805</v>
      </c>
      <c r="O9" s="12">
        <v>804</v>
      </c>
      <c r="P9" s="12">
        <v>803</v>
      </c>
      <c r="Q9" s="12">
        <v>802</v>
      </c>
      <c r="R9" s="12">
        <v>801</v>
      </c>
      <c r="S9" s="12">
        <v>800</v>
      </c>
      <c r="T9" s="12">
        <v>799</v>
      </c>
      <c r="U9" s="12">
        <v>798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3">
        <v>809</v>
      </c>
    </row>
    <row r="10" spans="1:61">
      <c r="C10" s="6"/>
      <c r="E10" s="14" t="s">
        <v>10</v>
      </c>
      <c r="F10" s="15" t="s">
        <v>11</v>
      </c>
      <c r="G10" s="195">
        <v>4505</v>
      </c>
      <c r="H10" s="195">
        <v>4232</v>
      </c>
      <c r="I10" s="195">
        <v>4135</v>
      </c>
      <c r="J10" s="132">
        <v>3200</v>
      </c>
      <c r="K10" s="132">
        <v>3200</v>
      </c>
      <c r="L10" s="132">
        <v>3200</v>
      </c>
      <c r="M10" s="132">
        <v>3200</v>
      </c>
      <c r="N10" s="132">
        <v>3200</v>
      </c>
      <c r="O10" s="132">
        <v>3200</v>
      </c>
      <c r="P10" s="132">
        <v>3200</v>
      </c>
      <c r="Q10" s="132">
        <v>3200</v>
      </c>
      <c r="R10" s="132">
        <v>3200</v>
      </c>
      <c r="S10" s="132">
        <v>3200</v>
      </c>
      <c r="T10" s="132">
        <v>3200</v>
      </c>
      <c r="U10" s="132">
        <v>3200</v>
      </c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7"/>
    </row>
    <row r="11" spans="1:61">
      <c r="C11" s="6"/>
      <c r="E11" s="14" t="s">
        <v>108</v>
      </c>
      <c r="F11" s="15" t="s">
        <v>109</v>
      </c>
      <c r="G11" s="206">
        <f>+G9*G10</f>
        <v>3689595</v>
      </c>
      <c r="H11" s="206">
        <f t="shared" ref="H11:U11" si="0">+H9*H10</f>
        <v>3449080</v>
      </c>
      <c r="I11" s="206">
        <f t="shared" si="0"/>
        <v>3361755</v>
      </c>
      <c r="J11" s="207">
        <f t="shared" si="0"/>
        <v>2595200</v>
      </c>
      <c r="K11" s="207">
        <f t="shared" si="0"/>
        <v>2588800</v>
      </c>
      <c r="L11" s="207">
        <f t="shared" si="0"/>
        <v>2585600</v>
      </c>
      <c r="M11" s="207">
        <f t="shared" si="0"/>
        <v>2579200</v>
      </c>
      <c r="N11" s="207">
        <f t="shared" si="0"/>
        <v>2576000</v>
      </c>
      <c r="O11" s="207">
        <f t="shared" si="0"/>
        <v>2572800</v>
      </c>
      <c r="P11" s="207">
        <f t="shared" si="0"/>
        <v>2569600</v>
      </c>
      <c r="Q11" s="207">
        <f t="shared" si="0"/>
        <v>2566400</v>
      </c>
      <c r="R11" s="207">
        <f t="shared" si="0"/>
        <v>2563200</v>
      </c>
      <c r="S11" s="207">
        <f t="shared" si="0"/>
        <v>2560000</v>
      </c>
      <c r="T11" s="207">
        <f t="shared" si="0"/>
        <v>2556800</v>
      </c>
      <c r="U11" s="207">
        <f t="shared" si="0"/>
        <v>2553600</v>
      </c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7"/>
    </row>
    <row r="12" spans="1:61">
      <c r="C12" s="6"/>
      <c r="E12" s="14" t="s">
        <v>12</v>
      </c>
      <c r="F12" s="15"/>
      <c r="G12" s="157">
        <v>84</v>
      </c>
      <c r="H12" s="157">
        <v>162</v>
      </c>
      <c r="I12" s="157">
        <v>177</v>
      </c>
      <c r="J12" s="16">
        <v>170</v>
      </c>
      <c r="K12" s="16">
        <v>170</v>
      </c>
      <c r="L12" s="16">
        <v>170</v>
      </c>
      <c r="M12" s="16">
        <v>170</v>
      </c>
      <c r="N12" s="16">
        <v>170</v>
      </c>
      <c r="O12" s="16">
        <v>170</v>
      </c>
      <c r="P12" s="16">
        <v>170</v>
      </c>
      <c r="Q12" s="16">
        <v>170</v>
      </c>
      <c r="R12" s="16">
        <v>170</v>
      </c>
      <c r="S12" s="16">
        <v>170</v>
      </c>
      <c r="T12" s="16">
        <v>170</v>
      </c>
      <c r="U12" s="16">
        <v>170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7"/>
    </row>
    <row r="13" spans="1:61">
      <c r="C13" s="6"/>
      <c r="E13" s="14" t="s">
        <v>13</v>
      </c>
      <c r="F13" s="15" t="s">
        <v>14</v>
      </c>
      <c r="G13" s="158">
        <v>13.51</v>
      </c>
      <c r="H13" s="158">
        <v>18.47</v>
      </c>
      <c r="I13" s="158">
        <v>20.13</v>
      </c>
      <c r="J13" s="197">
        <v>20.13</v>
      </c>
      <c r="K13" s="197">
        <v>20.13</v>
      </c>
      <c r="L13" s="197">
        <v>20.13</v>
      </c>
      <c r="M13" s="197">
        <v>20.13</v>
      </c>
      <c r="N13" s="197">
        <v>20.13</v>
      </c>
      <c r="O13" s="197">
        <v>20.13</v>
      </c>
      <c r="P13" s="197">
        <v>20.13</v>
      </c>
      <c r="Q13" s="197">
        <v>20.13</v>
      </c>
      <c r="R13" s="197">
        <v>20.13</v>
      </c>
      <c r="S13" s="197">
        <v>20.13</v>
      </c>
      <c r="T13" s="197">
        <v>20.13</v>
      </c>
      <c r="U13" s="197">
        <v>20.13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7"/>
    </row>
    <row r="14" spans="1:61">
      <c r="C14" s="6"/>
      <c r="E14" s="14" t="s">
        <v>15</v>
      </c>
      <c r="F14" s="15"/>
      <c r="G14" s="158">
        <v>13.5</v>
      </c>
      <c r="H14" s="158">
        <v>14</v>
      </c>
      <c r="I14" s="158">
        <v>15</v>
      </c>
      <c r="J14" s="18">
        <v>15</v>
      </c>
      <c r="K14" s="18">
        <v>15</v>
      </c>
      <c r="L14" s="18">
        <v>15</v>
      </c>
      <c r="M14" s="18">
        <v>15</v>
      </c>
      <c r="N14" s="18">
        <v>15</v>
      </c>
      <c r="O14" s="18">
        <v>15</v>
      </c>
      <c r="P14" s="18">
        <v>15</v>
      </c>
      <c r="Q14" s="18">
        <v>15</v>
      </c>
      <c r="R14" s="18">
        <v>15</v>
      </c>
      <c r="S14" s="18">
        <v>15</v>
      </c>
      <c r="T14" s="18">
        <v>15</v>
      </c>
      <c r="U14" s="18">
        <v>15</v>
      </c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7"/>
    </row>
    <row r="15" spans="1:61">
      <c r="C15" s="6"/>
      <c r="E15" s="19" t="s">
        <v>16</v>
      </c>
      <c r="F15" s="20"/>
      <c r="G15" s="159">
        <v>8</v>
      </c>
      <c r="H15" s="159">
        <v>12</v>
      </c>
      <c r="I15" s="159">
        <v>12</v>
      </c>
      <c r="J15" s="22">
        <v>12</v>
      </c>
      <c r="K15" s="22">
        <v>12</v>
      </c>
      <c r="L15" s="22">
        <v>12</v>
      </c>
      <c r="M15" s="22">
        <v>12</v>
      </c>
      <c r="N15" s="22">
        <v>12</v>
      </c>
      <c r="O15" s="22">
        <v>12</v>
      </c>
      <c r="P15" s="22">
        <v>12</v>
      </c>
      <c r="Q15" s="22">
        <v>12</v>
      </c>
      <c r="R15" s="22">
        <v>12</v>
      </c>
      <c r="S15" s="22">
        <v>12</v>
      </c>
      <c r="T15" s="22">
        <v>12</v>
      </c>
      <c r="U15" s="22">
        <v>12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3"/>
    </row>
    <row r="16" spans="1:61">
      <c r="C16" s="6"/>
      <c r="D16" s="6"/>
      <c r="E16" s="24" t="s">
        <v>17</v>
      </c>
      <c r="F16" s="7" t="s">
        <v>14</v>
      </c>
      <c r="G16" s="160">
        <v>0.2</v>
      </c>
      <c r="H16" s="161">
        <v>0.2</v>
      </c>
      <c r="I16" s="161">
        <v>0.2</v>
      </c>
      <c r="J16" s="196">
        <v>0</v>
      </c>
      <c r="K16" s="196">
        <v>0</v>
      </c>
      <c r="L16" s="196">
        <v>0</v>
      </c>
      <c r="M16" s="196">
        <v>0</v>
      </c>
      <c r="N16" s="196">
        <v>0</v>
      </c>
      <c r="O16" s="196">
        <v>0</v>
      </c>
      <c r="P16" s="196">
        <v>0</v>
      </c>
      <c r="Q16" s="196">
        <v>0</v>
      </c>
      <c r="R16" s="196">
        <v>0</v>
      </c>
      <c r="S16" s="196">
        <v>0</v>
      </c>
      <c r="T16" s="196">
        <v>0</v>
      </c>
      <c r="U16" s="196">
        <v>0</v>
      </c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6"/>
      <c r="BC16" s="6"/>
      <c r="BD16" s="6"/>
      <c r="BE16" s="6"/>
    </row>
    <row r="17" spans="1:58">
      <c r="C17" s="6"/>
    </row>
    <row r="18" spans="1:58">
      <c r="B18" s="10"/>
      <c r="C18" s="27"/>
      <c r="D18" s="28"/>
      <c r="E18" s="28"/>
      <c r="F18" s="29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30"/>
      <c r="BD18" s="31"/>
    </row>
    <row r="19" spans="1:58">
      <c r="B19" s="14"/>
      <c r="C19" s="32" t="s">
        <v>18</v>
      </c>
      <c r="D19" s="31"/>
      <c r="E19" s="31"/>
      <c r="F19" s="33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4"/>
      <c r="BD19" s="31"/>
    </row>
    <row r="20" spans="1:58">
      <c r="B20" s="14"/>
      <c r="C20" s="35"/>
      <c r="D20" s="31" t="s">
        <v>19</v>
      </c>
      <c r="E20" s="31"/>
      <c r="F20" s="7" t="s">
        <v>7</v>
      </c>
      <c r="G20" s="155">
        <v>2010</v>
      </c>
      <c r="H20" s="155">
        <v>2011</v>
      </c>
      <c r="I20" s="155">
        <v>2012</v>
      </c>
      <c r="J20" s="8">
        <v>2013</v>
      </c>
      <c r="K20" s="8">
        <v>2014</v>
      </c>
      <c r="L20" s="8">
        <v>2015</v>
      </c>
      <c r="M20" s="8">
        <v>2016</v>
      </c>
      <c r="N20" s="8">
        <v>2017</v>
      </c>
      <c r="O20" s="8">
        <v>2018</v>
      </c>
      <c r="P20" s="8">
        <v>2019</v>
      </c>
      <c r="Q20" s="8">
        <v>2020</v>
      </c>
      <c r="R20" s="8">
        <v>2021</v>
      </c>
      <c r="S20" s="8">
        <v>2022</v>
      </c>
      <c r="T20" s="8">
        <v>2023</v>
      </c>
      <c r="U20" s="8">
        <v>2024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9">
        <v>2014</v>
      </c>
      <c r="BC20" s="34"/>
      <c r="BD20" s="31"/>
      <c r="BF20" s="36" t="s">
        <v>20</v>
      </c>
    </row>
    <row r="21" spans="1:58">
      <c r="B21" s="14"/>
      <c r="C21" s="35"/>
      <c r="D21" s="31"/>
      <c r="E21" s="10" t="s">
        <v>21</v>
      </c>
      <c r="F21" s="37"/>
      <c r="G21" s="156">
        <v>0.52</v>
      </c>
      <c r="H21" s="156">
        <v>0.54</v>
      </c>
      <c r="I21" s="156">
        <v>0.56000000000000005</v>
      </c>
      <c r="J21" s="194">
        <v>0.57999999999999996</v>
      </c>
      <c r="K21" s="194">
        <v>0.57999999999999996</v>
      </c>
      <c r="L21" s="194">
        <v>0.57999999999999996</v>
      </c>
      <c r="M21" s="194">
        <v>0.57999999999999996</v>
      </c>
      <c r="N21" s="194">
        <v>0.57999999999999996</v>
      </c>
      <c r="O21" s="194">
        <v>0.57999999999999996</v>
      </c>
      <c r="P21" s="194">
        <v>0.57999999999999996</v>
      </c>
      <c r="Q21" s="194">
        <v>0.57999999999999996</v>
      </c>
      <c r="R21" s="194">
        <v>0.57999999999999996</v>
      </c>
      <c r="S21" s="194">
        <v>0.57999999999999996</v>
      </c>
      <c r="T21" s="194">
        <v>0.57999999999999996</v>
      </c>
      <c r="U21" s="194">
        <v>0.57999999999999996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3">
        <v>0.6</v>
      </c>
      <c r="BC21" s="34"/>
      <c r="BD21" s="31"/>
    </row>
    <row r="22" spans="1:58">
      <c r="B22" s="14"/>
      <c r="C22" s="35"/>
      <c r="D22" s="31"/>
      <c r="E22" s="14" t="s">
        <v>22</v>
      </c>
      <c r="F22" s="15"/>
      <c r="G22" s="162">
        <v>1.004</v>
      </c>
      <c r="H22" s="162">
        <v>1.008</v>
      </c>
      <c r="I22" s="162">
        <v>1.01</v>
      </c>
      <c r="J22" s="38">
        <v>1.0109999999999999</v>
      </c>
      <c r="K22" s="38">
        <v>1.012</v>
      </c>
      <c r="L22" s="38">
        <v>1.0129999999999999</v>
      </c>
      <c r="M22" s="38">
        <v>1.014</v>
      </c>
      <c r="N22" s="38">
        <v>1.0149999999999999</v>
      </c>
      <c r="O22" s="38">
        <v>1.0149999999999999</v>
      </c>
      <c r="P22" s="38">
        <v>1.016</v>
      </c>
      <c r="Q22" s="38">
        <v>1.016</v>
      </c>
      <c r="R22" s="38">
        <v>1.0170000000000001</v>
      </c>
      <c r="S22" s="38">
        <v>1.0106999999999999</v>
      </c>
      <c r="T22" s="38">
        <v>1.018</v>
      </c>
      <c r="U22" s="38">
        <v>1.018</v>
      </c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9">
        <v>1.012</v>
      </c>
      <c r="BC22" s="34"/>
      <c r="BD22" s="31"/>
    </row>
    <row r="23" spans="1:58">
      <c r="A23" s="40"/>
      <c r="B23" s="14"/>
      <c r="C23" s="35"/>
      <c r="D23" s="31"/>
      <c r="E23" s="14" t="s">
        <v>23</v>
      </c>
      <c r="F23" s="41" t="s">
        <v>24</v>
      </c>
      <c r="G23" s="157">
        <v>1.9206666666666665</v>
      </c>
      <c r="H23" s="163">
        <f>+G23</f>
        <v>1.9206666666666665</v>
      </c>
      <c r="I23" s="163">
        <f t="shared" ref="I23:J26" si="1">+H23</f>
        <v>1.9206666666666665</v>
      </c>
      <c r="J23" s="31">
        <f t="shared" si="1"/>
        <v>1.9206666666666665</v>
      </c>
      <c r="K23" s="31">
        <f t="shared" ref="K23:K26" si="2">+J23</f>
        <v>1.9206666666666665</v>
      </c>
      <c r="L23" s="31">
        <f t="shared" ref="L23:L26" si="3">+K23</f>
        <v>1.9206666666666665</v>
      </c>
      <c r="M23" s="31">
        <f t="shared" ref="M23:M26" si="4">+L23</f>
        <v>1.9206666666666665</v>
      </c>
      <c r="N23" s="31">
        <f t="shared" ref="N23:N26" si="5">+M23</f>
        <v>1.9206666666666665</v>
      </c>
      <c r="O23" s="31">
        <f t="shared" ref="O23:O26" si="6">+N23</f>
        <v>1.9206666666666665</v>
      </c>
      <c r="P23" s="31">
        <f t="shared" ref="P23:P26" si="7">+O23</f>
        <v>1.9206666666666665</v>
      </c>
      <c r="Q23" s="31">
        <f t="shared" ref="Q23:Q26" si="8">+P23</f>
        <v>1.9206666666666665</v>
      </c>
      <c r="R23" s="31">
        <f t="shared" ref="R23:R26" si="9">+Q23</f>
        <v>1.9206666666666665</v>
      </c>
      <c r="S23" s="31">
        <f t="shared" ref="S23:S26" si="10">+R23</f>
        <v>1.9206666666666665</v>
      </c>
      <c r="T23" s="31">
        <f t="shared" ref="T23:T26" si="11">+S23</f>
        <v>1.9206666666666665</v>
      </c>
      <c r="U23" s="31">
        <f t="shared" ref="U23:U26" si="12">+T23</f>
        <v>1.9206666666666665</v>
      </c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4">
        <f>+J23</f>
        <v>1.9206666666666665</v>
      </c>
      <c r="BC23" s="34"/>
      <c r="BD23" s="31"/>
    </row>
    <row r="24" spans="1:58">
      <c r="B24" s="14"/>
      <c r="C24" s="35"/>
      <c r="D24" s="31"/>
      <c r="E24" s="14" t="s">
        <v>25</v>
      </c>
      <c r="F24" s="15"/>
      <c r="G24" s="164">
        <v>1.65</v>
      </c>
      <c r="H24" s="187">
        <f>+G24</f>
        <v>1.65</v>
      </c>
      <c r="I24" s="187">
        <f t="shared" si="1"/>
        <v>1.65</v>
      </c>
      <c r="J24" s="188">
        <f t="shared" si="1"/>
        <v>1.65</v>
      </c>
      <c r="K24" s="188">
        <f t="shared" si="2"/>
        <v>1.65</v>
      </c>
      <c r="L24" s="188">
        <f t="shared" si="3"/>
        <v>1.65</v>
      </c>
      <c r="M24" s="188">
        <f t="shared" si="4"/>
        <v>1.65</v>
      </c>
      <c r="N24" s="188">
        <f t="shared" si="5"/>
        <v>1.65</v>
      </c>
      <c r="O24" s="188">
        <f t="shared" si="6"/>
        <v>1.65</v>
      </c>
      <c r="P24" s="188">
        <f t="shared" si="7"/>
        <v>1.65</v>
      </c>
      <c r="Q24" s="188">
        <f t="shared" si="8"/>
        <v>1.65</v>
      </c>
      <c r="R24" s="188">
        <f t="shared" si="9"/>
        <v>1.65</v>
      </c>
      <c r="S24" s="188">
        <f t="shared" si="10"/>
        <v>1.65</v>
      </c>
      <c r="T24" s="188">
        <f t="shared" si="11"/>
        <v>1.65</v>
      </c>
      <c r="U24" s="188">
        <f t="shared" si="12"/>
        <v>1.65</v>
      </c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4">
        <f>+J24</f>
        <v>1.65</v>
      </c>
      <c r="BC24" s="34"/>
      <c r="BD24" s="31"/>
      <c r="BF24" s="11" t="s">
        <v>26</v>
      </c>
    </row>
    <row r="25" spans="1:58">
      <c r="B25" s="14"/>
      <c r="C25" s="35"/>
      <c r="D25" s="31"/>
      <c r="E25" s="14" t="s">
        <v>27</v>
      </c>
      <c r="F25" s="15"/>
      <c r="G25" s="164">
        <v>0.03</v>
      </c>
      <c r="H25" s="187">
        <f>+G25</f>
        <v>0.03</v>
      </c>
      <c r="I25" s="187">
        <f t="shared" si="1"/>
        <v>0.03</v>
      </c>
      <c r="J25" s="188">
        <f t="shared" si="1"/>
        <v>0.03</v>
      </c>
      <c r="K25" s="188">
        <f t="shared" si="2"/>
        <v>0.03</v>
      </c>
      <c r="L25" s="188">
        <f t="shared" si="3"/>
        <v>0.03</v>
      </c>
      <c r="M25" s="188">
        <f t="shared" si="4"/>
        <v>0.03</v>
      </c>
      <c r="N25" s="188">
        <f t="shared" si="5"/>
        <v>0.03</v>
      </c>
      <c r="O25" s="188">
        <f t="shared" si="6"/>
        <v>0.03</v>
      </c>
      <c r="P25" s="188">
        <f t="shared" si="7"/>
        <v>0.03</v>
      </c>
      <c r="Q25" s="188">
        <f t="shared" si="8"/>
        <v>0.03</v>
      </c>
      <c r="R25" s="188">
        <f t="shared" si="9"/>
        <v>0.03</v>
      </c>
      <c r="S25" s="188">
        <f t="shared" si="10"/>
        <v>0.03</v>
      </c>
      <c r="T25" s="188">
        <f t="shared" si="11"/>
        <v>0.03</v>
      </c>
      <c r="U25" s="188">
        <f t="shared" si="12"/>
        <v>0.03</v>
      </c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4">
        <f>+J25</f>
        <v>0.03</v>
      </c>
      <c r="BC25" s="34"/>
      <c r="BD25" s="31"/>
      <c r="BF25" s="42">
        <f>BB23*(1+BB24*(BB25+BB26))</f>
        <v>2.0810231266666666</v>
      </c>
    </row>
    <row r="26" spans="1:58">
      <c r="B26" s="14"/>
      <c r="C26" s="35"/>
      <c r="D26" s="31"/>
      <c r="E26" s="14" t="s">
        <v>28</v>
      </c>
      <c r="F26" s="15"/>
      <c r="G26" s="165">
        <v>2.06E-2</v>
      </c>
      <c r="H26" s="187">
        <f>+G26</f>
        <v>2.06E-2</v>
      </c>
      <c r="I26" s="187">
        <f t="shared" si="1"/>
        <v>2.06E-2</v>
      </c>
      <c r="J26" s="188">
        <f t="shared" si="1"/>
        <v>2.06E-2</v>
      </c>
      <c r="K26" s="188">
        <f t="shared" si="2"/>
        <v>2.06E-2</v>
      </c>
      <c r="L26" s="188">
        <f t="shared" si="3"/>
        <v>2.06E-2</v>
      </c>
      <c r="M26" s="188">
        <f t="shared" si="4"/>
        <v>2.06E-2</v>
      </c>
      <c r="N26" s="188">
        <f t="shared" si="5"/>
        <v>2.06E-2</v>
      </c>
      <c r="O26" s="188">
        <f t="shared" si="6"/>
        <v>2.06E-2</v>
      </c>
      <c r="P26" s="188">
        <f t="shared" si="7"/>
        <v>2.06E-2</v>
      </c>
      <c r="Q26" s="188">
        <f t="shared" si="8"/>
        <v>2.06E-2</v>
      </c>
      <c r="R26" s="188">
        <f t="shared" si="9"/>
        <v>2.06E-2</v>
      </c>
      <c r="S26" s="188">
        <f t="shared" si="10"/>
        <v>2.06E-2</v>
      </c>
      <c r="T26" s="188">
        <f t="shared" si="11"/>
        <v>2.06E-2</v>
      </c>
      <c r="U26" s="188">
        <f t="shared" si="12"/>
        <v>2.06E-2</v>
      </c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4">
        <f>+J26</f>
        <v>2.06E-2</v>
      </c>
      <c r="BC26" s="34"/>
      <c r="BD26" s="31"/>
    </row>
    <row r="27" spans="1:58">
      <c r="B27" s="14"/>
      <c r="C27" s="35"/>
      <c r="D27" s="31"/>
      <c r="E27" s="19" t="s">
        <v>29</v>
      </c>
      <c r="F27" s="20"/>
      <c r="G27" s="166">
        <v>0.24410000000000001</v>
      </c>
      <c r="H27" s="166">
        <v>0.24530000000000002</v>
      </c>
      <c r="I27" s="166">
        <v>0.24600000000000002</v>
      </c>
      <c r="J27" s="43">
        <v>0.24660000000000001</v>
      </c>
      <c r="K27" s="43">
        <v>0.24719999999999998</v>
      </c>
      <c r="L27" s="43">
        <v>0.24760000000000001</v>
      </c>
      <c r="M27" s="43">
        <v>0.248</v>
      </c>
      <c r="N27" s="43">
        <v>0.24840000000000001</v>
      </c>
      <c r="O27" s="43">
        <v>0.2487</v>
      </c>
      <c r="P27" s="43">
        <v>0.249</v>
      </c>
      <c r="Q27" s="43">
        <v>0.24929999999999999</v>
      </c>
      <c r="R27" s="43">
        <v>0.24969999999999998</v>
      </c>
      <c r="S27" s="43">
        <v>0.24989999999999998</v>
      </c>
      <c r="T27" s="43">
        <v>0.25019999999999998</v>
      </c>
      <c r="U27" s="43">
        <v>0.2505</v>
      </c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4">
        <v>0.2472</v>
      </c>
      <c r="BC27" s="34"/>
      <c r="BD27" s="31"/>
    </row>
    <row r="28" spans="1:58">
      <c r="B28" s="14"/>
      <c r="C28" s="35"/>
      <c r="D28" s="31"/>
      <c r="E28" s="10" t="s">
        <v>30</v>
      </c>
      <c r="F28" s="11" t="s">
        <v>31</v>
      </c>
      <c r="G28" s="167">
        <v>1057.2</v>
      </c>
      <c r="H28" s="168">
        <f>+G28</f>
        <v>1057.2</v>
      </c>
      <c r="I28" s="168">
        <f>+H28</f>
        <v>1057.2</v>
      </c>
      <c r="J28" s="28">
        <f>+I28</f>
        <v>1057.2</v>
      </c>
      <c r="K28" s="28">
        <f t="shared" ref="K28:U32" si="13">+J28</f>
        <v>1057.2</v>
      </c>
      <c r="L28" s="28">
        <f t="shared" si="13"/>
        <v>1057.2</v>
      </c>
      <c r="M28" s="28">
        <f t="shared" si="13"/>
        <v>1057.2</v>
      </c>
      <c r="N28" s="28">
        <f t="shared" si="13"/>
        <v>1057.2</v>
      </c>
      <c r="O28" s="28">
        <f t="shared" si="13"/>
        <v>1057.2</v>
      </c>
      <c r="P28" s="28">
        <f t="shared" si="13"/>
        <v>1057.2</v>
      </c>
      <c r="Q28" s="28">
        <f t="shared" si="13"/>
        <v>1057.2</v>
      </c>
      <c r="R28" s="28">
        <f t="shared" si="13"/>
        <v>1057.2</v>
      </c>
      <c r="S28" s="28">
        <f t="shared" si="13"/>
        <v>1057.2</v>
      </c>
      <c r="T28" s="28">
        <f t="shared" si="13"/>
        <v>1057.2</v>
      </c>
      <c r="U28" s="28">
        <f t="shared" si="13"/>
        <v>1057.2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30">
        <f>+J28</f>
        <v>1057.2</v>
      </c>
      <c r="BC28" s="34"/>
      <c r="BD28" s="31"/>
    </row>
    <row r="29" spans="1:58">
      <c r="B29" s="14"/>
      <c r="C29" s="35"/>
      <c r="D29" s="31"/>
      <c r="E29" s="19" t="s">
        <v>32</v>
      </c>
      <c r="F29" s="20" t="s">
        <v>33</v>
      </c>
      <c r="G29" s="169">
        <v>12471</v>
      </c>
      <c r="H29" s="170">
        <f>+G29</f>
        <v>12471</v>
      </c>
      <c r="I29" s="170">
        <f t="shared" ref="I29:J32" si="14">+H29</f>
        <v>12471</v>
      </c>
      <c r="J29" s="22">
        <f t="shared" si="14"/>
        <v>12471</v>
      </c>
      <c r="K29" s="22">
        <f t="shared" si="13"/>
        <v>12471</v>
      </c>
      <c r="L29" s="22">
        <f t="shared" si="13"/>
        <v>12471</v>
      </c>
      <c r="M29" s="22">
        <f t="shared" si="13"/>
        <v>12471</v>
      </c>
      <c r="N29" s="22">
        <f t="shared" si="13"/>
        <v>12471</v>
      </c>
      <c r="O29" s="22">
        <f t="shared" si="13"/>
        <v>12471</v>
      </c>
      <c r="P29" s="22">
        <f t="shared" si="13"/>
        <v>12471</v>
      </c>
      <c r="Q29" s="22">
        <f t="shared" si="13"/>
        <v>12471</v>
      </c>
      <c r="R29" s="22">
        <f t="shared" si="13"/>
        <v>12471</v>
      </c>
      <c r="S29" s="22">
        <f t="shared" si="13"/>
        <v>12471</v>
      </c>
      <c r="T29" s="22">
        <f t="shared" si="13"/>
        <v>12471</v>
      </c>
      <c r="U29" s="22">
        <f t="shared" si="13"/>
        <v>12471</v>
      </c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3">
        <f>+J29</f>
        <v>12471</v>
      </c>
      <c r="BC29" s="34"/>
      <c r="BD29" s="31"/>
    </row>
    <row r="30" spans="1:58">
      <c r="B30" s="14"/>
      <c r="C30" s="35"/>
      <c r="D30" s="31"/>
      <c r="E30" s="46" t="s">
        <v>34</v>
      </c>
      <c r="F30" s="11" t="s">
        <v>35</v>
      </c>
      <c r="G30" s="171">
        <v>13931608</v>
      </c>
      <c r="H30" s="172">
        <f>+G30</f>
        <v>13931608</v>
      </c>
      <c r="I30" s="172">
        <f t="shared" si="14"/>
        <v>13931608</v>
      </c>
      <c r="J30" s="48">
        <f t="shared" si="14"/>
        <v>13931608</v>
      </c>
      <c r="K30" s="48">
        <f t="shared" si="13"/>
        <v>13931608</v>
      </c>
      <c r="L30" s="48">
        <f t="shared" si="13"/>
        <v>13931608</v>
      </c>
      <c r="M30" s="48">
        <f t="shared" si="13"/>
        <v>13931608</v>
      </c>
      <c r="N30" s="48">
        <f t="shared" si="13"/>
        <v>13931608</v>
      </c>
      <c r="O30" s="48">
        <f t="shared" si="13"/>
        <v>13931608</v>
      </c>
      <c r="P30" s="48">
        <f t="shared" si="13"/>
        <v>13931608</v>
      </c>
      <c r="Q30" s="48">
        <f t="shared" si="13"/>
        <v>13931608</v>
      </c>
      <c r="R30" s="48">
        <f t="shared" si="13"/>
        <v>13931608</v>
      </c>
      <c r="S30" s="48">
        <f t="shared" si="13"/>
        <v>13931608</v>
      </c>
      <c r="T30" s="48">
        <f t="shared" si="13"/>
        <v>13931608</v>
      </c>
      <c r="U30" s="48">
        <f t="shared" si="13"/>
        <v>13931608</v>
      </c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30">
        <f>+J30</f>
        <v>13931608</v>
      </c>
      <c r="BC30" s="34"/>
      <c r="BD30" s="31"/>
    </row>
    <row r="31" spans="1:58">
      <c r="B31" s="14"/>
      <c r="C31" s="35"/>
      <c r="D31" s="31"/>
      <c r="E31" s="49" t="s">
        <v>36</v>
      </c>
      <c r="F31" s="15"/>
      <c r="G31" s="162">
        <v>0.22789999999999999</v>
      </c>
      <c r="H31" s="173">
        <f>+G31</f>
        <v>0.22789999999999999</v>
      </c>
      <c r="I31" s="173">
        <f t="shared" si="14"/>
        <v>0.22789999999999999</v>
      </c>
      <c r="J31" s="50">
        <f t="shared" si="14"/>
        <v>0.22789999999999999</v>
      </c>
      <c r="K31" s="50">
        <f t="shared" si="13"/>
        <v>0.22789999999999999</v>
      </c>
      <c r="L31" s="50">
        <f t="shared" si="13"/>
        <v>0.22789999999999999</v>
      </c>
      <c r="M31" s="50">
        <f t="shared" si="13"/>
        <v>0.22789999999999999</v>
      </c>
      <c r="N31" s="50">
        <f t="shared" si="13"/>
        <v>0.22789999999999999</v>
      </c>
      <c r="O31" s="50">
        <f t="shared" si="13"/>
        <v>0.22789999999999999</v>
      </c>
      <c r="P31" s="50">
        <f t="shared" si="13"/>
        <v>0.22789999999999999</v>
      </c>
      <c r="Q31" s="50">
        <f t="shared" si="13"/>
        <v>0.22789999999999999</v>
      </c>
      <c r="R31" s="50">
        <f t="shared" si="13"/>
        <v>0.22789999999999999</v>
      </c>
      <c r="S31" s="50">
        <f t="shared" si="13"/>
        <v>0.22789999999999999</v>
      </c>
      <c r="T31" s="50">
        <f t="shared" si="13"/>
        <v>0.22789999999999999</v>
      </c>
      <c r="U31" s="50">
        <f t="shared" si="13"/>
        <v>0.22789999999999999</v>
      </c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1">
        <f>+J31</f>
        <v>0.22789999999999999</v>
      </c>
      <c r="BC31" s="34"/>
      <c r="BD31" s="31"/>
    </row>
    <row r="32" spans="1:58">
      <c r="B32" s="14"/>
      <c r="C32" s="35"/>
      <c r="D32" s="31"/>
      <c r="E32" s="49" t="s">
        <v>37</v>
      </c>
      <c r="F32" s="15"/>
      <c r="G32" s="162">
        <v>0.77210000000000001</v>
      </c>
      <c r="H32" s="173">
        <f>+G32</f>
        <v>0.77210000000000001</v>
      </c>
      <c r="I32" s="173">
        <f t="shared" si="14"/>
        <v>0.77210000000000001</v>
      </c>
      <c r="J32" s="50">
        <f t="shared" si="14"/>
        <v>0.77210000000000001</v>
      </c>
      <c r="K32" s="50">
        <f t="shared" si="13"/>
        <v>0.77210000000000001</v>
      </c>
      <c r="L32" s="50">
        <f t="shared" si="13"/>
        <v>0.77210000000000001</v>
      </c>
      <c r="M32" s="50">
        <f t="shared" si="13"/>
        <v>0.77210000000000001</v>
      </c>
      <c r="N32" s="50">
        <f t="shared" si="13"/>
        <v>0.77210000000000001</v>
      </c>
      <c r="O32" s="50">
        <f t="shared" si="13"/>
        <v>0.77210000000000001</v>
      </c>
      <c r="P32" s="50">
        <f t="shared" si="13"/>
        <v>0.77210000000000001</v>
      </c>
      <c r="Q32" s="50">
        <f t="shared" si="13"/>
        <v>0.77210000000000001</v>
      </c>
      <c r="R32" s="50">
        <f t="shared" si="13"/>
        <v>0.77210000000000001</v>
      </c>
      <c r="S32" s="50">
        <f t="shared" si="13"/>
        <v>0.77210000000000001</v>
      </c>
      <c r="T32" s="50">
        <f t="shared" si="13"/>
        <v>0.77210000000000001</v>
      </c>
      <c r="U32" s="50">
        <f t="shared" si="13"/>
        <v>0.77210000000000001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1">
        <f>+J32</f>
        <v>0.77210000000000001</v>
      </c>
      <c r="BC32" s="34"/>
      <c r="BD32" s="31"/>
    </row>
    <row r="33" spans="2:56">
      <c r="B33" s="14"/>
      <c r="C33" s="35"/>
      <c r="D33" s="31"/>
      <c r="E33" s="49" t="s">
        <v>38</v>
      </c>
      <c r="F33" s="52">
        <v>1</v>
      </c>
      <c r="G33" s="174">
        <f>G34</f>
        <v>1.0360400000000001</v>
      </c>
      <c r="H33" s="174">
        <f>H34</f>
        <v>1.0733788816000001</v>
      </c>
      <c r="I33" s="174">
        <f>I34</f>
        <v>1.1120634564928642</v>
      </c>
      <c r="J33" s="189">
        <f>J34</f>
        <v>1.1521422234648668</v>
      </c>
      <c r="K33" s="189">
        <f t="shared" ref="K33:U33" si="15">K34</f>
        <v>1.1936654291985407</v>
      </c>
      <c r="L33" s="189">
        <f t="shared" si="15"/>
        <v>1.2366851312668561</v>
      </c>
      <c r="M33" s="189">
        <f t="shared" si="15"/>
        <v>1.2812552633977137</v>
      </c>
      <c r="N33" s="189">
        <f t="shared" si="15"/>
        <v>1.3274317030905671</v>
      </c>
      <c r="O33" s="189">
        <f t="shared" si="15"/>
        <v>1.3752723416699513</v>
      </c>
      <c r="P33" s="189">
        <f t="shared" si="15"/>
        <v>1.4248371568637364</v>
      </c>
      <c r="Q33" s="189">
        <f t="shared" si="15"/>
        <v>1.4761882879971056</v>
      </c>
      <c r="R33" s="189">
        <f t="shared" si="15"/>
        <v>1.5293901138965209</v>
      </c>
      <c r="S33" s="189">
        <f t="shared" si="15"/>
        <v>1.5845093336013516</v>
      </c>
      <c r="T33" s="189">
        <f t="shared" si="15"/>
        <v>1.6416150499843443</v>
      </c>
      <c r="U33" s="189">
        <f t="shared" si="15"/>
        <v>1.7007788563857802</v>
      </c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4">
        <f>BB34</f>
        <v>1.1936654291985407</v>
      </c>
      <c r="BC33" s="34"/>
      <c r="BD33" s="31"/>
    </row>
    <row r="34" spans="2:56">
      <c r="B34" s="14"/>
      <c r="C34" s="35"/>
      <c r="D34" s="31"/>
      <c r="E34" s="55" t="s">
        <v>39</v>
      </c>
      <c r="F34" s="56">
        <v>1</v>
      </c>
      <c r="G34" s="175">
        <v>1.0360400000000001</v>
      </c>
      <c r="H34" s="176">
        <f>POWER($G$84,H20-$G$70+1)</f>
        <v>1.0733788816000001</v>
      </c>
      <c r="I34" s="176">
        <f>POWER($G$84,I20-$G$70+1)</f>
        <v>1.1120634564928642</v>
      </c>
      <c r="J34" s="190">
        <f>POWER($G$84,J20-$G$70+1)</f>
        <v>1.1521422234648668</v>
      </c>
      <c r="K34" s="190">
        <f t="shared" ref="K34:U34" si="16">POWER($G$84,K20-$G$70+1)</f>
        <v>1.1936654291985407</v>
      </c>
      <c r="L34" s="190">
        <f t="shared" si="16"/>
        <v>1.2366851312668561</v>
      </c>
      <c r="M34" s="190">
        <f t="shared" si="16"/>
        <v>1.2812552633977137</v>
      </c>
      <c r="N34" s="190">
        <f t="shared" si="16"/>
        <v>1.3274317030905671</v>
      </c>
      <c r="O34" s="190">
        <f t="shared" si="16"/>
        <v>1.3752723416699513</v>
      </c>
      <c r="P34" s="190">
        <f t="shared" si="16"/>
        <v>1.4248371568637364</v>
      </c>
      <c r="Q34" s="190">
        <f t="shared" si="16"/>
        <v>1.4761882879971056</v>
      </c>
      <c r="R34" s="190">
        <f t="shared" si="16"/>
        <v>1.5293901138965209</v>
      </c>
      <c r="S34" s="190">
        <f t="shared" si="16"/>
        <v>1.5845093336013516</v>
      </c>
      <c r="T34" s="190">
        <f t="shared" si="16"/>
        <v>1.6416150499843443</v>
      </c>
      <c r="U34" s="190">
        <f t="shared" si="16"/>
        <v>1.7007788563857802</v>
      </c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8">
        <f>POWER($G$84,BB20-$G$70+1)</f>
        <v>1.1936654291985407</v>
      </c>
      <c r="BC34" s="34"/>
      <c r="BD34" s="31"/>
    </row>
    <row r="35" spans="2:56">
      <c r="B35" s="14"/>
      <c r="C35" s="35"/>
      <c r="D35" s="31"/>
      <c r="E35" s="55" t="s">
        <v>40</v>
      </c>
      <c r="F35" s="56"/>
      <c r="G35" s="175">
        <v>0.19</v>
      </c>
      <c r="H35" s="176">
        <f>G35</f>
        <v>0.19</v>
      </c>
      <c r="I35" s="176">
        <f>H35</f>
        <v>0.19</v>
      </c>
      <c r="J35" s="191">
        <f>I35</f>
        <v>0.19</v>
      </c>
      <c r="K35" s="191">
        <f t="shared" ref="K35:U35" si="17">J35</f>
        <v>0.19</v>
      </c>
      <c r="L35" s="191">
        <f t="shared" si="17"/>
        <v>0.19</v>
      </c>
      <c r="M35" s="191">
        <f t="shared" si="17"/>
        <v>0.19</v>
      </c>
      <c r="N35" s="191">
        <f t="shared" si="17"/>
        <v>0.19</v>
      </c>
      <c r="O35" s="191">
        <f t="shared" si="17"/>
        <v>0.19</v>
      </c>
      <c r="P35" s="191">
        <f t="shared" si="17"/>
        <v>0.19</v>
      </c>
      <c r="Q35" s="191">
        <f t="shared" si="17"/>
        <v>0.19</v>
      </c>
      <c r="R35" s="191">
        <f t="shared" si="17"/>
        <v>0.19</v>
      </c>
      <c r="S35" s="191">
        <f t="shared" si="17"/>
        <v>0.19</v>
      </c>
      <c r="T35" s="191">
        <f t="shared" si="17"/>
        <v>0.19</v>
      </c>
      <c r="U35" s="191">
        <f t="shared" si="17"/>
        <v>0.19</v>
      </c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8">
        <f>J35</f>
        <v>0.19</v>
      </c>
      <c r="BC35" s="34"/>
      <c r="BD35" s="31"/>
    </row>
    <row r="36" spans="2:56">
      <c r="B36" s="14"/>
      <c r="C36" s="35"/>
      <c r="D36" s="31"/>
      <c r="E36" s="55" t="s">
        <v>41</v>
      </c>
      <c r="F36" s="20" t="s">
        <v>42</v>
      </c>
      <c r="G36" s="159">
        <v>0.36499999999999999</v>
      </c>
      <c r="H36" s="170">
        <f>+G36</f>
        <v>0.36499999999999999</v>
      </c>
      <c r="I36" s="170">
        <f>+H36</f>
        <v>0.36499999999999999</v>
      </c>
      <c r="J36" s="22">
        <f>+I36</f>
        <v>0.36499999999999999</v>
      </c>
      <c r="K36" s="22">
        <f t="shared" ref="K36:U36" si="18">+J36</f>
        <v>0.36499999999999999</v>
      </c>
      <c r="L36" s="22">
        <f t="shared" si="18"/>
        <v>0.36499999999999999</v>
      </c>
      <c r="M36" s="22">
        <f t="shared" si="18"/>
        <v>0.36499999999999999</v>
      </c>
      <c r="N36" s="22">
        <f t="shared" si="18"/>
        <v>0.36499999999999999</v>
      </c>
      <c r="O36" s="22">
        <f t="shared" si="18"/>
        <v>0.36499999999999999</v>
      </c>
      <c r="P36" s="22">
        <f t="shared" si="18"/>
        <v>0.36499999999999999</v>
      </c>
      <c r="Q36" s="22">
        <f t="shared" si="18"/>
        <v>0.36499999999999999</v>
      </c>
      <c r="R36" s="22">
        <f t="shared" si="18"/>
        <v>0.36499999999999999</v>
      </c>
      <c r="S36" s="22">
        <f t="shared" si="18"/>
        <v>0.36499999999999999</v>
      </c>
      <c r="T36" s="22">
        <f t="shared" si="18"/>
        <v>0.36499999999999999</v>
      </c>
      <c r="U36" s="22">
        <f t="shared" si="18"/>
        <v>0.36499999999999999</v>
      </c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3">
        <f>+J36</f>
        <v>0.36499999999999999</v>
      </c>
      <c r="BC36" s="34"/>
      <c r="BD36" s="31"/>
    </row>
    <row r="37" spans="2:56">
      <c r="B37" s="14"/>
      <c r="C37" s="35"/>
      <c r="D37" s="31"/>
      <c r="E37" s="59" t="s">
        <v>43</v>
      </c>
      <c r="F37" s="7" t="s">
        <v>44</v>
      </c>
      <c r="G37" s="177">
        <v>285009</v>
      </c>
      <c r="H37" s="178">
        <f>+G37</f>
        <v>285009</v>
      </c>
      <c r="I37" s="178">
        <f>+H37</f>
        <v>285009</v>
      </c>
      <c r="J37" s="192">
        <f>+I37</f>
        <v>285009</v>
      </c>
      <c r="K37" s="192">
        <f t="shared" ref="K37:U37" si="19">+J37</f>
        <v>285009</v>
      </c>
      <c r="L37" s="192">
        <f t="shared" si="19"/>
        <v>285009</v>
      </c>
      <c r="M37" s="192">
        <f t="shared" si="19"/>
        <v>285009</v>
      </c>
      <c r="N37" s="192">
        <f t="shared" si="19"/>
        <v>285009</v>
      </c>
      <c r="O37" s="192">
        <f t="shared" si="19"/>
        <v>285009</v>
      </c>
      <c r="P37" s="192">
        <f t="shared" si="19"/>
        <v>285009</v>
      </c>
      <c r="Q37" s="192">
        <f t="shared" si="19"/>
        <v>285009</v>
      </c>
      <c r="R37" s="192">
        <f t="shared" si="19"/>
        <v>285009</v>
      </c>
      <c r="S37" s="192">
        <f t="shared" si="19"/>
        <v>285009</v>
      </c>
      <c r="T37" s="192">
        <f t="shared" si="19"/>
        <v>285009</v>
      </c>
      <c r="U37" s="192">
        <f t="shared" si="19"/>
        <v>285009</v>
      </c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6"/>
      <c r="BC37" s="34"/>
      <c r="BD37" s="31"/>
    </row>
    <row r="38" spans="2:56">
      <c r="B38" s="14"/>
      <c r="C38" s="35"/>
      <c r="D38" s="31"/>
      <c r="E38" s="59" t="s">
        <v>45</v>
      </c>
      <c r="F38" s="7" t="s">
        <v>14</v>
      </c>
      <c r="G38" s="179">
        <v>0.45</v>
      </c>
      <c r="H38" s="180">
        <f>+G38</f>
        <v>0.45</v>
      </c>
      <c r="I38" s="180">
        <f>+H38</f>
        <v>0.45</v>
      </c>
      <c r="J38" s="62">
        <f>+I38</f>
        <v>0.45</v>
      </c>
      <c r="K38" s="193">
        <v>0</v>
      </c>
      <c r="L38" s="193">
        <v>0</v>
      </c>
      <c r="M38" s="193">
        <v>0</v>
      </c>
      <c r="N38" s="193">
        <v>0</v>
      </c>
      <c r="O38" s="193">
        <v>0</v>
      </c>
      <c r="P38" s="193">
        <v>0</v>
      </c>
      <c r="Q38" s="193">
        <v>0</v>
      </c>
      <c r="R38" s="193">
        <v>0</v>
      </c>
      <c r="S38" s="193">
        <v>0</v>
      </c>
      <c r="T38" s="193">
        <v>0</v>
      </c>
      <c r="U38" s="193">
        <v>0</v>
      </c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3">
        <f>+J38</f>
        <v>0.45</v>
      </c>
      <c r="BC38" s="34"/>
      <c r="BD38" s="31"/>
    </row>
    <row r="39" spans="2:56">
      <c r="B39" s="14"/>
      <c r="C39" s="35"/>
      <c r="D39" s="31"/>
      <c r="E39" s="31"/>
      <c r="F39" s="33"/>
      <c r="G39" s="163"/>
      <c r="H39" s="163"/>
      <c r="I39" s="163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4"/>
      <c r="BD39" s="31"/>
    </row>
    <row r="40" spans="2:56">
      <c r="B40" s="14"/>
      <c r="C40" s="35"/>
      <c r="D40" s="31" t="s">
        <v>46</v>
      </c>
      <c r="E40" s="31"/>
      <c r="F40" s="7" t="s">
        <v>7</v>
      </c>
      <c r="G40" s="155">
        <v>2010</v>
      </c>
      <c r="H40" s="155">
        <v>2011</v>
      </c>
      <c r="I40" s="155">
        <v>2012</v>
      </c>
      <c r="J40" s="8">
        <v>2013</v>
      </c>
      <c r="K40" s="8">
        <v>2014</v>
      </c>
      <c r="L40" s="8">
        <v>2015</v>
      </c>
      <c r="M40" s="8">
        <v>2016</v>
      </c>
      <c r="N40" s="8">
        <v>2017</v>
      </c>
      <c r="O40" s="8">
        <v>2018</v>
      </c>
      <c r="P40" s="8">
        <v>2019</v>
      </c>
      <c r="Q40" s="8">
        <v>2020</v>
      </c>
      <c r="R40" s="8">
        <v>2021</v>
      </c>
      <c r="S40" s="8">
        <v>2022</v>
      </c>
      <c r="T40" s="8">
        <v>2023</v>
      </c>
      <c r="U40" s="8">
        <v>2024</v>
      </c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9">
        <v>2014</v>
      </c>
      <c r="BC40" s="34"/>
      <c r="BD40" s="31"/>
    </row>
    <row r="41" spans="2:56">
      <c r="B41" s="14"/>
      <c r="C41" s="35"/>
      <c r="D41" s="31"/>
      <c r="E41" s="64" t="s">
        <v>47</v>
      </c>
      <c r="F41" s="11"/>
      <c r="G41" s="168">
        <f>ROUND(+G27*G9,0)</f>
        <v>200</v>
      </c>
      <c r="H41" s="168">
        <f>ROUND(+H27*H9,0)</f>
        <v>200</v>
      </c>
      <c r="I41" s="168">
        <f>ROUND(+I27*I9,0)</f>
        <v>200</v>
      </c>
      <c r="J41" s="28">
        <f>ROUND(+J27*J9,0)</f>
        <v>200</v>
      </c>
      <c r="K41" s="28">
        <f t="shared" ref="K41:U41" si="20">ROUND(+K27*K9,0)</f>
        <v>200</v>
      </c>
      <c r="L41" s="28">
        <f t="shared" si="20"/>
        <v>200</v>
      </c>
      <c r="M41" s="28">
        <f t="shared" si="20"/>
        <v>200</v>
      </c>
      <c r="N41" s="28">
        <f t="shared" si="20"/>
        <v>200</v>
      </c>
      <c r="O41" s="28">
        <f t="shared" si="20"/>
        <v>200</v>
      </c>
      <c r="P41" s="28">
        <f t="shared" si="20"/>
        <v>200</v>
      </c>
      <c r="Q41" s="28">
        <f t="shared" si="20"/>
        <v>200</v>
      </c>
      <c r="R41" s="28">
        <f t="shared" si="20"/>
        <v>200</v>
      </c>
      <c r="S41" s="28">
        <f t="shared" si="20"/>
        <v>200</v>
      </c>
      <c r="T41" s="28">
        <f t="shared" si="20"/>
        <v>200</v>
      </c>
      <c r="U41" s="28">
        <f t="shared" si="20"/>
        <v>200</v>
      </c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30">
        <f>ROUND(+BB27*BB9,0)</f>
        <v>200</v>
      </c>
      <c r="BC41" s="34"/>
      <c r="BD41" s="31"/>
    </row>
    <row r="42" spans="2:56">
      <c r="B42" s="14"/>
      <c r="C42" s="35"/>
      <c r="D42" s="31"/>
      <c r="E42" s="65" t="s">
        <v>48</v>
      </c>
      <c r="F42" s="20" t="s">
        <v>49</v>
      </c>
      <c r="G42" s="170">
        <f>+G41*G10/1000</f>
        <v>901</v>
      </c>
      <c r="H42" s="170">
        <f>+H41*H10/1000</f>
        <v>846.4</v>
      </c>
      <c r="I42" s="170">
        <f>+I41*I10/1000</f>
        <v>827</v>
      </c>
      <c r="J42" s="22">
        <f t="shared" ref="J42:U42" si="21">+J41*J10/1000</f>
        <v>640</v>
      </c>
      <c r="K42" s="22">
        <f t="shared" si="21"/>
        <v>640</v>
      </c>
      <c r="L42" s="22">
        <f t="shared" si="21"/>
        <v>640</v>
      </c>
      <c r="M42" s="22">
        <f t="shared" si="21"/>
        <v>640</v>
      </c>
      <c r="N42" s="22">
        <f t="shared" si="21"/>
        <v>640</v>
      </c>
      <c r="O42" s="22">
        <f t="shared" si="21"/>
        <v>640</v>
      </c>
      <c r="P42" s="22">
        <f t="shared" si="21"/>
        <v>640</v>
      </c>
      <c r="Q42" s="22">
        <f t="shared" si="21"/>
        <v>640</v>
      </c>
      <c r="R42" s="22">
        <f t="shared" si="21"/>
        <v>640</v>
      </c>
      <c r="S42" s="22">
        <f t="shared" si="21"/>
        <v>640</v>
      </c>
      <c r="T42" s="22">
        <f t="shared" si="21"/>
        <v>640</v>
      </c>
      <c r="U42" s="22">
        <f t="shared" si="21"/>
        <v>640</v>
      </c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3"/>
      <c r="BC42" s="34"/>
      <c r="BD42" s="31"/>
    </row>
    <row r="43" spans="2:56">
      <c r="B43" s="14"/>
      <c r="C43" s="35"/>
      <c r="D43" s="31"/>
      <c r="E43" s="31"/>
      <c r="F43" s="33"/>
      <c r="G43" s="163"/>
      <c r="H43" s="163"/>
      <c r="I43" s="163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4"/>
      <c r="BD43" s="31"/>
    </row>
    <row r="44" spans="2:56">
      <c r="B44" s="14"/>
      <c r="C44" s="35"/>
      <c r="D44" s="31"/>
      <c r="E44" s="31"/>
      <c r="F44" s="7" t="s">
        <v>7</v>
      </c>
      <c r="G44" s="155">
        <v>2010</v>
      </c>
      <c r="H44" s="155">
        <v>2011</v>
      </c>
      <c r="I44" s="155">
        <v>2012</v>
      </c>
      <c r="J44" s="8">
        <v>2013</v>
      </c>
      <c r="K44" s="8">
        <v>2014</v>
      </c>
      <c r="L44" s="8">
        <v>2015</v>
      </c>
      <c r="M44" s="8">
        <v>2016</v>
      </c>
      <c r="N44" s="8">
        <v>2017</v>
      </c>
      <c r="O44" s="8">
        <v>2018</v>
      </c>
      <c r="P44" s="8">
        <v>2019</v>
      </c>
      <c r="Q44" s="8">
        <v>2020</v>
      </c>
      <c r="R44" s="8">
        <v>2021</v>
      </c>
      <c r="S44" s="8">
        <v>2022</v>
      </c>
      <c r="T44" s="8">
        <v>2023</v>
      </c>
      <c r="U44" s="8">
        <v>2024</v>
      </c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9">
        <v>2014</v>
      </c>
      <c r="BC44" s="34"/>
      <c r="BD44" s="31"/>
    </row>
    <row r="45" spans="2:56">
      <c r="B45" s="14"/>
      <c r="C45" s="35"/>
      <c r="D45" s="66" t="s">
        <v>50</v>
      </c>
      <c r="E45" s="28"/>
      <c r="F45" s="11"/>
      <c r="G45" s="168"/>
      <c r="H45" s="168"/>
      <c r="I45" s="16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30"/>
      <c r="BC45" s="34"/>
      <c r="BD45" s="31"/>
    </row>
    <row r="46" spans="2:56">
      <c r="B46" s="14"/>
      <c r="C46" s="35"/>
      <c r="D46" s="14"/>
      <c r="E46" s="31" t="s">
        <v>51</v>
      </c>
      <c r="F46" s="15" t="s">
        <v>52</v>
      </c>
      <c r="G46" s="181">
        <f>+G21+(G22*G23)*G13*(1+G24*(G25+G26))+G35</f>
        <v>28.937080931031733</v>
      </c>
      <c r="H46" s="181">
        <f>+H21+(H22*H23)*H13*(1+H24*(H25+H26))+H35</f>
        <v>39.473989126729592</v>
      </c>
      <c r="I46" s="181">
        <f>+I21+(I22*I23)*I13*(1+I24*(I25+I26))+I35</f>
        <v>43.059905495197995</v>
      </c>
      <c r="J46" s="198">
        <f t="shared" ref="J46:U46" si="22">+J21+(J22*J23)*J13*(1+J24*(J25+J26))+J35</f>
        <v>43.121796490737786</v>
      </c>
      <c r="K46" s="198">
        <f t="shared" si="22"/>
        <v>43.163687486277595</v>
      </c>
      <c r="L46" s="198">
        <f t="shared" si="22"/>
        <v>43.20557848181739</v>
      </c>
      <c r="M46" s="198">
        <f t="shared" si="22"/>
        <v>43.247469477357193</v>
      </c>
      <c r="N46" s="198">
        <f t="shared" si="22"/>
        <v>43.289360472896988</v>
      </c>
      <c r="O46" s="198">
        <f t="shared" si="22"/>
        <v>43.289360472896988</v>
      </c>
      <c r="P46" s="198">
        <f t="shared" si="22"/>
        <v>43.331251468436797</v>
      </c>
      <c r="Q46" s="198">
        <f t="shared" si="22"/>
        <v>43.331251468436797</v>
      </c>
      <c r="R46" s="198">
        <f t="shared" si="22"/>
        <v>43.373142463976599</v>
      </c>
      <c r="S46" s="198">
        <f t="shared" si="22"/>
        <v>43.109229192075851</v>
      </c>
      <c r="T46" s="198">
        <f t="shared" si="22"/>
        <v>43.415033459516394</v>
      </c>
      <c r="U46" s="198">
        <f t="shared" si="22"/>
        <v>43.415033459516394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4"/>
      <c r="BC46" s="34"/>
      <c r="BD46" s="31"/>
    </row>
    <row r="47" spans="2:56" s="40" customFormat="1" ht="11.25">
      <c r="B47" s="68"/>
      <c r="C47" s="69"/>
      <c r="D47" s="68"/>
      <c r="E47" s="70" t="s">
        <v>53</v>
      </c>
      <c r="F47" s="41" t="s">
        <v>52</v>
      </c>
      <c r="G47" s="182">
        <f>+G21+(G22*G23)*G13*(1)+G35</f>
        <v>26.761999493333331</v>
      </c>
      <c r="H47" s="182">
        <f>+H21+(H22*H23)*H13*(1)+H35</f>
        <v>36.488511039999992</v>
      </c>
      <c r="I47" s="182">
        <f>+I21+(I22*I23)*I13*(1)+I35</f>
        <v>39.799650199999995</v>
      </c>
      <c r="J47" s="199">
        <f t="shared" ref="J47:U47" si="23">+J21+(J22*J23)*J13*(1)+J35</f>
        <v>39.858313219999985</v>
      </c>
      <c r="K47" s="199">
        <f t="shared" si="23"/>
        <v>39.896976239999994</v>
      </c>
      <c r="L47" s="199">
        <f t="shared" si="23"/>
        <v>39.935639259999988</v>
      </c>
      <c r="M47" s="199">
        <f t="shared" si="23"/>
        <v>39.974302279999989</v>
      </c>
      <c r="N47" s="199">
        <f t="shared" si="23"/>
        <v>40.012965299999983</v>
      </c>
      <c r="O47" s="199">
        <f t="shared" si="23"/>
        <v>40.012965299999983</v>
      </c>
      <c r="P47" s="199">
        <f t="shared" si="23"/>
        <v>40.051628319999992</v>
      </c>
      <c r="Q47" s="199">
        <f t="shared" si="23"/>
        <v>40.051628319999992</v>
      </c>
      <c r="R47" s="199">
        <f t="shared" si="23"/>
        <v>40.090291339999993</v>
      </c>
      <c r="S47" s="199">
        <f t="shared" si="23"/>
        <v>39.846714313999989</v>
      </c>
      <c r="T47" s="199">
        <f t="shared" si="23"/>
        <v>40.128954359999994</v>
      </c>
      <c r="U47" s="199">
        <f t="shared" si="23"/>
        <v>40.128954359999994</v>
      </c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3"/>
      <c r="BC47" s="73"/>
      <c r="BD47" s="72"/>
    </row>
    <row r="48" spans="2:56" s="40" customFormat="1" ht="11.25">
      <c r="B48" s="68"/>
      <c r="C48" s="69"/>
      <c r="D48" s="68"/>
      <c r="E48" s="70" t="s">
        <v>54</v>
      </c>
      <c r="F48" s="41" t="s">
        <v>52</v>
      </c>
      <c r="G48" s="182">
        <f>+(G22*G23)*G13*(G24*(G25+G26))</f>
        <v>2.1750814376983998</v>
      </c>
      <c r="H48" s="182">
        <f>+(H22*H23)*H13*(H24*(H25+H26))</f>
        <v>2.9854780867295996</v>
      </c>
      <c r="I48" s="182">
        <f>+(I22*I23)*I13*(I24*(I25+I26))</f>
        <v>3.2602552951979993</v>
      </c>
      <c r="J48" s="199">
        <f t="shared" ref="J48:U48" si="24">+(J22*J23)*J13*(J24*(J25+J26))</f>
        <v>3.2634832707377988</v>
      </c>
      <c r="K48" s="199">
        <f t="shared" si="24"/>
        <v>3.2667112462775996</v>
      </c>
      <c r="L48" s="199">
        <f t="shared" si="24"/>
        <v>3.269939221817399</v>
      </c>
      <c r="M48" s="199">
        <f t="shared" si="24"/>
        <v>3.2731671973571994</v>
      </c>
      <c r="N48" s="199">
        <f t="shared" si="24"/>
        <v>3.2763951728969989</v>
      </c>
      <c r="O48" s="199">
        <f t="shared" si="24"/>
        <v>3.2763951728969989</v>
      </c>
      <c r="P48" s="199">
        <f t="shared" si="24"/>
        <v>3.2796231484367993</v>
      </c>
      <c r="Q48" s="199">
        <f t="shared" si="24"/>
        <v>3.2796231484367993</v>
      </c>
      <c r="R48" s="199">
        <f t="shared" si="24"/>
        <v>3.2828511239765996</v>
      </c>
      <c r="S48" s="199">
        <f t="shared" si="24"/>
        <v>3.262514878075859</v>
      </c>
      <c r="T48" s="199">
        <f t="shared" si="24"/>
        <v>3.2860790995163995</v>
      </c>
      <c r="U48" s="199">
        <f t="shared" si="24"/>
        <v>3.2860790995163995</v>
      </c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3"/>
      <c r="BC48" s="73"/>
      <c r="BD48" s="72"/>
    </row>
    <row r="49" spans="2:57" s="74" customFormat="1" ht="12.75">
      <c r="B49" s="75"/>
      <c r="C49" s="32"/>
      <c r="D49" s="76"/>
      <c r="E49" s="77" t="s">
        <v>55</v>
      </c>
      <c r="F49" s="78" t="s">
        <v>56</v>
      </c>
      <c r="G49" s="183">
        <f>+G42*G46</f>
        <v>26072.309918859592</v>
      </c>
      <c r="H49" s="183">
        <f>+H42*H46</f>
        <v>33410.784396863928</v>
      </c>
      <c r="I49" s="183">
        <f>+I42*I46</f>
        <v>35610.541844528743</v>
      </c>
      <c r="J49" s="200">
        <f t="shared" ref="J49:U49" si="25">+J42*J46</f>
        <v>27597.949754072182</v>
      </c>
      <c r="K49" s="200">
        <f t="shared" si="25"/>
        <v>27624.759991217659</v>
      </c>
      <c r="L49" s="200">
        <f t="shared" si="25"/>
        <v>27651.570228363129</v>
      </c>
      <c r="M49" s="200">
        <f t="shared" si="25"/>
        <v>27678.380465508602</v>
      </c>
      <c r="N49" s="200">
        <f t="shared" si="25"/>
        <v>27705.190702654072</v>
      </c>
      <c r="O49" s="200">
        <f t="shared" si="25"/>
        <v>27705.190702654072</v>
      </c>
      <c r="P49" s="200">
        <f t="shared" si="25"/>
        <v>27732.000939799549</v>
      </c>
      <c r="Q49" s="200">
        <f t="shared" si="25"/>
        <v>27732.000939799549</v>
      </c>
      <c r="R49" s="200">
        <f t="shared" si="25"/>
        <v>27758.811176945022</v>
      </c>
      <c r="S49" s="200">
        <f t="shared" si="25"/>
        <v>27589.906682928544</v>
      </c>
      <c r="T49" s="200">
        <f t="shared" si="25"/>
        <v>27785.621414090492</v>
      </c>
      <c r="U49" s="200">
        <f t="shared" si="25"/>
        <v>27785.621414090492</v>
      </c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80"/>
      <c r="BC49" s="81"/>
      <c r="BD49" s="82"/>
    </row>
    <row r="50" spans="2:57">
      <c r="B50" s="14"/>
      <c r="C50" s="35"/>
      <c r="D50" s="66" t="s">
        <v>57</v>
      </c>
      <c r="E50" s="28"/>
      <c r="F50" s="11"/>
      <c r="G50" s="168"/>
      <c r="H50" s="168"/>
      <c r="I50" s="168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30"/>
      <c r="BC50" s="34"/>
      <c r="BD50" s="31"/>
    </row>
    <row r="51" spans="2:57">
      <c r="B51" s="14"/>
      <c r="C51" s="35"/>
      <c r="D51" s="14"/>
      <c r="E51" s="31" t="s">
        <v>58</v>
      </c>
      <c r="F51" s="15" t="s">
        <v>56</v>
      </c>
      <c r="G51" s="181">
        <f>+G27*(G28*G13+G29)/1000</f>
        <v>6.5305957452000003</v>
      </c>
      <c r="H51" s="181">
        <f>+H27*(H28*H13+H29)/1000</f>
        <v>7.8489828252000002</v>
      </c>
      <c r="I51" s="181">
        <f>+I27*(I28*I13+I29)/1000</f>
        <v>8.3030992560000012</v>
      </c>
      <c r="J51" s="198">
        <f t="shared" ref="J51:U51" si="26">+J27*(J28*J13+J29)/1000</f>
        <v>8.3233507176000003</v>
      </c>
      <c r="K51" s="198">
        <f t="shared" si="26"/>
        <v>8.3436021791999995</v>
      </c>
      <c r="L51" s="198">
        <f t="shared" si="26"/>
        <v>8.3571031536000007</v>
      </c>
      <c r="M51" s="198">
        <f t="shared" si="26"/>
        <v>8.3706041280000001</v>
      </c>
      <c r="N51" s="198">
        <f t="shared" si="26"/>
        <v>8.3841051024000013</v>
      </c>
      <c r="O51" s="198">
        <f t="shared" si="26"/>
        <v>8.3942308332000017</v>
      </c>
      <c r="P51" s="198">
        <f t="shared" si="26"/>
        <v>8.4043565640000004</v>
      </c>
      <c r="Q51" s="198">
        <f t="shared" si="26"/>
        <v>8.4144822948000009</v>
      </c>
      <c r="R51" s="198">
        <f t="shared" si="26"/>
        <v>8.4279832692000003</v>
      </c>
      <c r="S51" s="198">
        <f t="shared" si="26"/>
        <v>8.4347337563999982</v>
      </c>
      <c r="T51" s="198">
        <f t="shared" si="26"/>
        <v>8.4448594871999987</v>
      </c>
      <c r="U51" s="198">
        <f t="shared" si="26"/>
        <v>8.4549852179999991</v>
      </c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4"/>
      <c r="BC51" s="34"/>
      <c r="BD51" s="31"/>
    </row>
    <row r="52" spans="2:57" s="74" customFormat="1" ht="12.75">
      <c r="B52" s="75"/>
      <c r="C52" s="32"/>
      <c r="D52" s="76"/>
      <c r="E52" s="77" t="s">
        <v>59</v>
      </c>
      <c r="F52" s="78" t="s">
        <v>56</v>
      </c>
      <c r="G52" s="183">
        <f>+G51*G12</f>
        <v>548.57004259680002</v>
      </c>
      <c r="H52" s="183">
        <f>+H51*H12</f>
        <v>1271.5352176824001</v>
      </c>
      <c r="I52" s="183">
        <f>+I51*I12</f>
        <v>1469.6485683120002</v>
      </c>
      <c r="J52" s="200">
        <f t="shared" ref="J52:U52" si="27">+J51*J12</f>
        <v>1414.9696219920002</v>
      </c>
      <c r="K52" s="200">
        <f t="shared" si="27"/>
        <v>1418.4123704639999</v>
      </c>
      <c r="L52" s="200">
        <f t="shared" si="27"/>
        <v>1420.7075361120001</v>
      </c>
      <c r="M52" s="200">
        <f t="shared" si="27"/>
        <v>1423.00270176</v>
      </c>
      <c r="N52" s="200">
        <f t="shared" si="27"/>
        <v>1425.2978674080002</v>
      </c>
      <c r="O52" s="200">
        <f t="shared" si="27"/>
        <v>1427.0192416440002</v>
      </c>
      <c r="P52" s="200">
        <f t="shared" si="27"/>
        <v>1428.7406158800002</v>
      </c>
      <c r="Q52" s="200">
        <f t="shared" si="27"/>
        <v>1430.4619901160002</v>
      </c>
      <c r="R52" s="200">
        <f t="shared" si="27"/>
        <v>1432.7571557640001</v>
      </c>
      <c r="S52" s="200">
        <f t="shared" si="27"/>
        <v>1433.9047385879996</v>
      </c>
      <c r="T52" s="200">
        <f t="shared" si="27"/>
        <v>1435.6261128239998</v>
      </c>
      <c r="U52" s="200">
        <f t="shared" si="27"/>
        <v>1437.3474870599998</v>
      </c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80"/>
      <c r="BC52" s="81"/>
      <c r="BD52" s="82"/>
    </row>
    <row r="53" spans="2:57">
      <c r="B53" s="14"/>
      <c r="C53" s="35"/>
      <c r="D53" s="66" t="s">
        <v>60</v>
      </c>
      <c r="E53" s="28"/>
      <c r="F53" s="11"/>
      <c r="G53" s="168"/>
      <c r="H53" s="168"/>
      <c r="I53" s="168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30"/>
      <c r="BC53" s="34"/>
      <c r="BD53" s="31"/>
    </row>
    <row r="54" spans="2:57">
      <c r="B54" s="14"/>
      <c r="C54" s="35"/>
      <c r="D54" s="14"/>
      <c r="E54" s="31" t="s">
        <v>61</v>
      </c>
      <c r="F54" s="15" t="s">
        <v>62</v>
      </c>
      <c r="G54" s="184">
        <f>+G22*G36*(1-G25)*G42</f>
        <v>320.27504620000002</v>
      </c>
      <c r="H54" s="184">
        <f>+H22*H36*(1-H25)*H42</f>
        <v>302.06526335999996</v>
      </c>
      <c r="I54" s="184">
        <f>+I22*I36*(1-I25)*I42</f>
        <v>295.72734349999996</v>
      </c>
      <c r="J54" s="202">
        <f t="shared" ref="J54:U54" si="28">+J22*J36*(1-J25)*J42</f>
        <v>229.08451199999996</v>
      </c>
      <c r="K54" s="202">
        <f t="shared" si="28"/>
        <v>229.31110399999997</v>
      </c>
      <c r="L54" s="202">
        <f t="shared" si="28"/>
        <v>229.53769599999993</v>
      </c>
      <c r="M54" s="202">
        <f t="shared" si="28"/>
        <v>229.76428800000002</v>
      </c>
      <c r="N54" s="202">
        <f t="shared" si="28"/>
        <v>229.99087999999998</v>
      </c>
      <c r="O54" s="202">
        <f t="shared" si="28"/>
        <v>229.99087999999998</v>
      </c>
      <c r="P54" s="202">
        <f t="shared" si="28"/>
        <v>230.21747199999999</v>
      </c>
      <c r="Q54" s="202">
        <f t="shared" si="28"/>
        <v>230.21747199999999</v>
      </c>
      <c r="R54" s="202">
        <f t="shared" si="28"/>
        <v>230.44406400000003</v>
      </c>
      <c r="S54" s="202">
        <f t="shared" si="28"/>
        <v>229.01653439999995</v>
      </c>
      <c r="T54" s="202">
        <f t="shared" si="28"/>
        <v>230.67065600000001</v>
      </c>
      <c r="U54" s="202">
        <f t="shared" si="28"/>
        <v>230.67065600000001</v>
      </c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4"/>
      <c r="BC54" s="34"/>
      <c r="BD54" s="31"/>
    </row>
    <row r="55" spans="2:57" s="74" customFormat="1">
      <c r="B55" s="75"/>
      <c r="C55" s="32"/>
      <c r="D55" s="76"/>
      <c r="E55" s="77" t="s">
        <v>63</v>
      </c>
      <c r="F55" s="78" t="s">
        <v>56</v>
      </c>
      <c r="G55" s="183">
        <f>+G54*G14</f>
        <v>4323.7131237000003</v>
      </c>
      <c r="H55" s="183">
        <f>+H54*H14</f>
        <v>4228.9136870399998</v>
      </c>
      <c r="I55" s="183">
        <f>+I54*I14</f>
        <v>4435.9101524999996</v>
      </c>
      <c r="J55" s="200">
        <f t="shared" ref="J55:U55" si="29">+J54*J14</f>
        <v>3436.2676799999995</v>
      </c>
      <c r="K55" s="200">
        <f t="shared" si="29"/>
        <v>3439.6665599999997</v>
      </c>
      <c r="L55" s="200">
        <f t="shared" si="29"/>
        <v>3443.0654399999989</v>
      </c>
      <c r="M55" s="200">
        <f t="shared" si="29"/>
        <v>3446.4643200000005</v>
      </c>
      <c r="N55" s="200">
        <f t="shared" si="29"/>
        <v>3449.8631999999998</v>
      </c>
      <c r="O55" s="200">
        <f t="shared" si="29"/>
        <v>3449.8631999999998</v>
      </c>
      <c r="P55" s="200">
        <f t="shared" si="29"/>
        <v>3453.26208</v>
      </c>
      <c r="Q55" s="200">
        <f t="shared" si="29"/>
        <v>3453.26208</v>
      </c>
      <c r="R55" s="200">
        <f t="shared" si="29"/>
        <v>3456.6609600000002</v>
      </c>
      <c r="S55" s="200">
        <f t="shared" si="29"/>
        <v>3435.2480159999996</v>
      </c>
      <c r="T55" s="200">
        <f t="shared" si="29"/>
        <v>3460.0598399999999</v>
      </c>
      <c r="U55" s="200">
        <f t="shared" si="29"/>
        <v>3460.0598399999999</v>
      </c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80"/>
      <c r="BC55" s="81"/>
      <c r="BD55" s="82"/>
      <c r="BE55"/>
    </row>
    <row r="56" spans="2:57" s="74" customFormat="1">
      <c r="B56" s="75"/>
      <c r="C56" s="32"/>
      <c r="D56" s="84" t="s">
        <v>64</v>
      </c>
      <c r="E56" s="82"/>
      <c r="F56" s="85"/>
      <c r="G56" s="185"/>
      <c r="H56" s="185"/>
      <c r="I56" s="185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1"/>
      <c r="BC56" s="81"/>
      <c r="BD56" s="82"/>
      <c r="BE56"/>
    </row>
    <row r="57" spans="2:57" s="74" customFormat="1">
      <c r="B57" s="75"/>
      <c r="C57" s="32"/>
      <c r="D57" s="75"/>
      <c r="E57" s="82" t="s">
        <v>65</v>
      </c>
      <c r="F57" s="15" t="s">
        <v>66</v>
      </c>
      <c r="G57" s="185">
        <f>+G23*G42*(1-G25)</f>
        <v>1678.6050466666666</v>
      </c>
      <c r="H57" s="185">
        <f>+H23*H42*(1-H25)</f>
        <v>1576.8826986666666</v>
      </c>
      <c r="I57" s="185">
        <f>+I23*I42*(1-I25)</f>
        <v>1540.7395933333332</v>
      </c>
      <c r="J57" s="203">
        <f t="shared" ref="J57:U57" si="30">+J23*J42*(1-J25)</f>
        <v>1192.3498666666665</v>
      </c>
      <c r="K57" s="203">
        <f t="shared" si="30"/>
        <v>1192.3498666666665</v>
      </c>
      <c r="L57" s="203">
        <f t="shared" si="30"/>
        <v>1192.3498666666665</v>
      </c>
      <c r="M57" s="203">
        <f t="shared" si="30"/>
        <v>1192.3498666666665</v>
      </c>
      <c r="N57" s="203">
        <f t="shared" si="30"/>
        <v>1192.3498666666665</v>
      </c>
      <c r="O57" s="203">
        <f t="shared" si="30"/>
        <v>1192.3498666666665</v>
      </c>
      <c r="P57" s="203">
        <f t="shared" si="30"/>
        <v>1192.3498666666665</v>
      </c>
      <c r="Q57" s="203">
        <f t="shared" si="30"/>
        <v>1192.3498666666665</v>
      </c>
      <c r="R57" s="203">
        <f t="shared" si="30"/>
        <v>1192.3498666666665</v>
      </c>
      <c r="S57" s="203">
        <f t="shared" si="30"/>
        <v>1192.3498666666665</v>
      </c>
      <c r="T57" s="203">
        <f t="shared" si="30"/>
        <v>1192.3498666666665</v>
      </c>
      <c r="U57" s="203">
        <f t="shared" si="30"/>
        <v>1192.3498666666665</v>
      </c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1"/>
      <c r="BC57" s="81"/>
      <c r="BD57" s="82"/>
    </row>
    <row r="58" spans="2:57" s="74" customFormat="1" ht="12.75">
      <c r="B58" s="75"/>
      <c r="C58" s="32"/>
      <c r="D58" s="75"/>
      <c r="E58" s="82" t="s">
        <v>67</v>
      </c>
      <c r="F58" s="85" t="s">
        <v>56</v>
      </c>
      <c r="G58" s="185">
        <f>+(G22*G23)*(1+G24*(G25+G26))*G38*G42</f>
        <v>847.12583001382802</v>
      </c>
      <c r="H58" s="185">
        <f>+(H22*H23)*(1+H24*(H25+H26))*H38*H42</f>
        <v>798.96104919267839</v>
      </c>
      <c r="I58" s="185">
        <f>+(I22*I23)*(1+I24*(I25+I26))*I38*I42</f>
        <v>782.19728415488999</v>
      </c>
      <c r="J58" s="203">
        <f t="shared" ref="J58:U58" si="31">+(J22*J23)*(1+J24*(J25+J26))*J38*J42</f>
        <v>605.92734174527993</v>
      </c>
      <c r="K58" s="203">
        <f t="shared" si="31"/>
        <v>0</v>
      </c>
      <c r="L58" s="203">
        <f t="shared" si="31"/>
        <v>0</v>
      </c>
      <c r="M58" s="203">
        <f t="shared" si="31"/>
        <v>0</v>
      </c>
      <c r="N58" s="203">
        <f t="shared" si="31"/>
        <v>0</v>
      </c>
      <c r="O58" s="203">
        <f t="shared" si="31"/>
        <v>0</v>
      </c>
      <c r="P58" s="203">
        <f t="shared" si="31"/>
        <v>0</v>
      </c>
      <c r="Q58" s="203">
        <f t="shared" si="31"/>
        <v>0</v>
      </c>
      <c r="R58" s="203">
        <f t="shared" si="31"/>
        <v>0</v>
      </c>
      <c r="S58" s="203">
        <f t="shared" si="31"/>
        <v>0</v>
      </c>
      <c r="T58" s="203">
        <f t="shared" si="31"/>
        <v>0</v>
      </c>
      <c r="U58" s="203">
        <f t="shared" si="31"/>
        <v>0</v>
      </c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1"/>
      <c r="BC58" s="81"/>
      <c r="BD58" s="82"/>
    </row>
    <row r="59" spans="2:57" s="74" customFormat="1" ht="12.75">
      <c r="B59" s="75"/>
      <c r="C59" s="32"/>
      <c r="D59" s="87" t="s">
        <v>68</v>
      </c>
      <c r="E59" s="88"/>
      <c r="F59" s="89"/>
      <c r="G59" s="186">
        <f>+G49+G52+G55+G58</f>
        <v>31791.718915170219</v>
      </c>
      <c r="H59" s="186">
        <f>+H49+H52+H55+H58</f>
        <v>39710.194350779006</v>
      </c>
      <c r="I59" s="186">
        <f>+I49+I52+I55+I58</f>
        <v>42298.297849495633</v>
      </c>
      <c r="J59" s="204">
        <f t="shared" ref="J59:U59" si="32">+J49+J52+J55+J58</f>
        <v>33055.114397809462</v>
      </c>
      <c r="K59" s="204">
        <f t="shared" si="32"/>
        <v>32482.838921681658</v>
      </c>
      <c r="L59" s="204">
        <f t="shared" si="32"/>
        <v>32515.343204475128</v>
      </c>
      <c r="M59" s="204">
        <f t="shared" si="32"/>
        <v>32547.847487268602</v>
      </c>
      <c r="N59" s="204">
        <f t="shared" si="32"/>
        <v>32580.351770062072</v>
      </c>
      <c r="O59" s="204">
        <f t="shared" si="32"/>
        <v>32582.073144298072</v>
      </c>
      <c r="P59" s="204">
        <f t="shared" si="32"/>
        <v>32614.00363567955</v>
      </c>
      <c r="Q59" s="204">
        <f t="shared" si="32"/>
        <v>32615.72500991555</v>
      </c>
      <c r="R59" s="204">
        <f t="shared" si="32"/>
        <v>32648.229292709024</v>
      </c>
      <c r="S59" s="204">
        <f t="shared" si="32"/>
        <v>32459.059437516546</v>
      </c>
      <c r="T59" s="204">
        <f t="shared" si="32"/>
        <v>32681.307366914494</v>
      </c>
      <c r="U59" s="204">
        <f t="shared" si="32"/>
        <v>32683.028741150491</v>
      </c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91"/>
      <c r="BC59" s="81"/>
      <c r="BD59" s="82"/>
    </row>
    <row r="60" spans="2:57">
      <c r="B60" s="14"/>
      <c r="C60" s="35"/>
      <c r="D60" s="66" t="s">
        <v>69</v>
      </c>
      <c r="E60" s="28"/>
      <c r="F60" s="11"/>
      <c r="G60" s="168"/>
      <c r="H60" s="168"/>
      <c r="I60" s="168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30"/>
      <c r="BC60" s="34"/>
      <c r="BD60" s="31"/>
    </row>
    <row r="61" spans="2:57" s="74" customFormat="1" ht="12.75">
      <c r="B61" s="75"/>
      <c r="C61" s="32"/>
      <c r="D61" s="76"/>
      <c r="E61" s="77" t="s">
        <v>70</v>
      </c>
      <c r="F61" s="78" t="s">
        <v>56</v>
      </c>
      <c r="G61" s="183">
        <f>+G30*G27*(G31*G33/$F$33+G32*G34/$F$34)/1000*G15/12</f>
        <v>2348.8446263208748</v>
      </c>
      <c r="H61" s="183">
        <f>+H30*H27*(H31*H33/$F$33+H32*H34/$F$34)/1000*H15/12</f>
        <v>3668.1901525569342</v>
      </c>
      <c r="I61" s="183">
        <f>+I30*I27*(I31*I33/$F$33+I32*I34/$F$34)/1000*I15/12</f>
        <v>3811.2367081579755</v>
      </c>
      <c r="J61" s="200">
        <f t="shared" ref="J61:U61" si="33">+J30*J27*(J31*J33/$F$33+J32*J34/$F$34)/1000*J15/12</f>
        <v>3958.2243954105247</v>
      </c>
      <c r="K61" s="200">
        <f t="shared" si="33"/>
        <v>4110.8566099267673</v>
      </c>
      <c r="L61" s="200">
        <f t="shared" si="33"/>
        <v>4265.9034871358235</v>
      </c>
      <c r="M61" s="200">
        <f t="shared" si="33"/>
        <v>4426.7866272432366</v>
      </c>
      <c r="N61" s="200">
        <f t="shared" si="33"/>
        <v>4593.7253205427742</v>
      </c>
      <c r="O61" s="200">
        <f t="shared" si="33"/>
        <v>4765.0311076423523</v>
      </c>
      <c r="P61" s="200">
        <f t="shared" si="33"/>
        <v>4942.7179105817613</v>
      </c>
      <c r="Q61" s="200">
        <f t="shared" si="33"/>
        <v>5127.0231670478988</v>
      </c>
      <c r="R61" s="200">
        <f t="shared" si="33"/>
        <v>5320.3238274066562</v>
      </c>
      <c r="S61" s="200">
        <f t="shared" si="33"/>
        <v>5516.4832507280053</v>
      </c>
      <c r="T61" s="200">
        <f t="shared" si="33"/>
        <v>5722.1584082932286</v>
      </c>
      <c r="U61" s="200">
        <f t="shared" si="33"/>
        <v>5935.4933726246736</v>
      </c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80"/>
      <c r="BC61" s="81"/>
      <c r="BD61" s="82"/>
    </row>
    <row r="62" spans="2:57">
      <c r="B62" s="14"/>
      <c r="C62" s="35"/>
      <c r="D62" s="84" t="s">
        <v>71</v>
      </c>
      <c r="E62" s="31"/>
      <c r="F62" s="15"/>
      <c r="G62" s="163"/>
      <c r="H62" s="163"/>
      <c r="I62" s="163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4"/>
      <c r="BC62" s="34"/>
      <c r="BD62" s="31"/>
    </row>
    <row r="63" spans="2:57" s="74" customFormat="1" ht="12.75">
      <c r="B63" s="75"/>
      <c r="C63" s="32"/>
      <c r="D63" s="75"/>
      <c r="E63" s="82" t="s">
        <v>72</v>
      </c>
      <c r="F63" s="85" t="s">
        <v>56</v>
      </c>
      <c r="G63" s="185">
        <f>+G37*G27*G15/1000</f>
        <v>556.56557520000013</v>
      </c>
      <c r="H63" s="185">
        <f>+H37*H27*H15/1000</f>
        <v>838.95249239999998</v>
      </c>
      <c r="I63" s="185">
        <f>+I37*I27*I15/1000</f>
        <v>841.34656800000005</v>
      </c>
      <c r="J63" s="203">
        <f t="shared" ref="J63:U63" si="34">+J37*J27*J15/1000</f>
        <v>843.39863279999997</v>
      </c>
      <c r="K63" s="203">
        <f t="shared" si="34"/>
        <v>845.45069760000001</v>
      </c>
      <c r="L63" s="203">
        <f t="shared" si="34"/>
        <v>846.8187408</v>
      </c>
      <c r="M63" s="203">
        <f t="shared" si="34"/>
        <v>848.18678399999999</v>
      </c>
      <c r="N63" s="203">
        <f t="shared" si="34"/>
        <v>849.55482719999998</v>
      </c>
      <c r="O63" s="203">
        <f t="shared" si="34"/>
        <v>850.58085959999994</v>
      </c>
      <c r="P63" s="203">
        <f t="shared" si="34"/>
        <v>851.60689200000002</v>
      </c>
      <c r="Q63" s="203">
        <f t="shared" si="34"/>
        <v>852.63292439999987</v>
      </c>
      <c r="R63" s="203">
        <f t="shared" si="34"/>
        <v>854.00096759999985</v>
      </c>
      <c r="S63" s="203">
        <f t="shared" si="34"/>
        <v>854.6849891999999</v>
      </c>
      <c r="T63" s="203">
        <f t="shared" si="34"/>
        <v>855.71102159999998</v>
      </c>
      <c r="U63" s="203">
        <f t="shared" si="34"/>
        <v>856.73705400000006</v>
      </c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1"/>
      <c r="BC63" s="81"/>
      <c r="BD63" s="82"/>
    </row>
    <row r="64" spans="2:57" s="74" customFormat="1" ht="12.75">
      <c r="B64" s="75"/>
      <c r="C64" s="32"/>
      <c r="D64" s="87" t="s">
        <v>73</v>
      </c>
      <c r="E64" s="88"/>
      <c r="F64" s="89"/>
      <c r="G64" s="186">
        <f>+G63+G61</f>
        <v>2905.410201520875</v>
      </c>
      <c r="H64" s="186">
        <f>+H63+H61</f>
        <v>4507.1426449569344</v>
      </c>
      <c r="I64" s="186">
        <f>+I63+I61</f>
        <v>4652.5832761579759</v>
      </c>
      <c r="J64" s="204">
        <f t="shared" ref="J64:U64" si="35">+J63+J61</f>
        <v>4801.6230282105244</v>
      </c>
      <c r="K64" s="204">
        <f t="shared" si="35"/>
        <v>4956.3073075267675</v>
      </c>
      <c r="L64" s="204">
        <f t="shared" si="35"/>
        <v>5112.7222279358239</v>
      </c>
      <c r="M64" s="204">
        <f t="shared" si="35"/>
        <v>5274.9734112432361</v>
      </c>
      <c r="N64" s="204">
        <f t="shared" si="35"/>
        <v>5443.2801477427738</v>
      </c>
      <c r="O64" s="204">
        <f t="shared" si="35"/>
        <v>5615.611967242352</v>
      </c>
      <c r="P64" s="204">
        <f t="shared" si="35"/>
        <v>5794.3248025817611</v>
      </c>
      <c r="Q64" s="204">
        <f t="shared" si="35"/>
        <v>5979.6560914478987</v>
      </c>
      <c r="R64" s="204">
        <f t="shared" si="35"/>
        <v>6174.3247950066561</v>
      </c>
      <c r="S64" s="204">
        <f t="shared" si="35"/>
        <v>6371.1682399280053</v>
      </c>
      <c r="T64" s="204">
        <f t="shared" si="35"/>
        <v>6577.8694298932287</v>
      </c>
      <c r="U64" s="204">
        <f t="shared" si="35"/>
        <v>6792.2304266246738</v>
      </c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91"/>
      <c r="BC64" s="81"/>
      <c r="BD64" s="82"/>
    </row>
    <row r="65" spans="2:59">
      <c r="B65" s="14"/>
      <c r="C65" s="35"/>
      <c r="D65" s="87" t="s">
        <v>74</v>
      </c>
      <c r="E65" s="88"/>
      <c r="F65" s="89"/>
      <c r="G65" s="186">
        <f>+G63+G61+G55+G52+G49</f>
        <v>33850.003286677267</v>
      </c>
      <c r="H65" s="186">
        <f>+H63+H61+H55+H52+H49</f>
        <v>43418.375946543259</v>
      </c>
      <c r="I65" s="186">
        <f>+I63+I61+I55+I52+I49</f>
        <v>46168.683841498721</v>
      </c>
      <c r="J65" s="204">
        <f t="shared" ref="J65:U65" si="36">+J63+J61+J55+J52+J49</f>
        <v>37250.810084274708</v>
      </c>
      <c r="K65" s="204">
        <f t="shared" si="36"/>
        <v>37439.146229208425</v>
      </c>
      <c r="L65" s="204">
        <f t="shared" si="36"/>
        <v>37628.065432410949</v>
      </c>
      <c r="M65" s="204">
        <f t="shared" si="36"/>
        <v>37822.82089851184</v>
      </c>
      <c r="N65" s="204">
        <f t="shared" si="36"/>
        <v>38023.631917804843</v>
      </c>
      <c r="O65" s="204">
        <f t="shared" si="36"/>
        <v>38197.685111540428</v>
      </c>
      <c r="P65" s="204">
        <f t="shared" si="36"/>
        <v>38408.328438261313</v>
      </c>
      <c r="Q65" s="204">
        <f t="shared" si="36"/>
        <v>38595.381101363448</v>
      </c>
      <c r="R65" s="204">
        <f t="shared" si="36"/>
        <v>38822.554087715675</v>
      </c>
      <c r="S65" s="204">
        <f t="shared" si="36"/>
        <v>38830.227677444549</v>
      </c>
      <c r="T65" s="204">
        <f t="shared" si="36"/>
        <v>39259.176796807718</v>
      </c>
      <c r="U65" s="204">
        <f t="shared" si="36"/>
        <v>39475.259167775162</v>
      </c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2">
        <f>+BB63+BB61+BB55+BB52+BB49</f>
        <v>0</v>
      </c>
      <c r="BC65" s="34"/>
      <c r="BD65" s="31"/>
    </row>
    <row r="66" spans="2:59">
      <c r="B66" s="19"/>
      <c r="C66" s="93"/>
      <c r="D66" s="208" t="s">
        <v>110</v>
      </c>
      <c r="E66" s="208"/>
      <c r="F66" s="209"/>
      <c r="G66" s="210">
        <f>+G65/G11/G27*1000</f>
        <v>37.584799577626463</v>
      </c>
      <c r="H66" s="210">
        <f t="shared" ref="H66:U66" si="37">+H65/H11/H27*1000</f>
        <v>51.318358789865727</v>
      </c>
      <c r="I66" s="210">
        <f t="shared" si="37"/>
        <v>55.827261829448666</v>
      </c>
      <c r="J66" s="210">
        <f t="shared" si="37"/>
        <v>58.206544398821983</v>
      </c>
      <c r="K66" s="210">
        <f t="shared" si="37"/>
        <v>58.50311221966686</v>
      </c>
      <c r="L66" s="210">
        <f t="shared" si="37"/>
        <v>58.775984338903072</v>
      </c>
      <c r="M66" s="210">
        <f t="shared" si="37"/>
        <v>59.131271165777584</v>
      </c>
      <c r="N66" s="210">
        <f t="shared" si="37"/>
        <v>59.423215282473741</v>
      </c>
      <c r="O66" s="210">
        <f t="shared" si="37"/>
        <v>59.697374593440038</v>
      </c>
      <c r="P66" s="210">
        <f t="shared" si="37"/>
        <v>60.028920848808241</v>
      </c>
      <c r="Q66" s="210">
        <f t="shared" si="37"/>
        <v>60.323802378210502</v>
      </c>
      <c r="R66" s="210">
        <f t="shared" si="37"/>
        <v>60.657298883059916</v>
      </c>
      <c r="S66" s="210">
        <f t="shared" si="37"/>
        <v>60.696509349747011</v>
      </c>
      <c r="T66" s="210">
        <f t="shared" si="37"/>
        <v>61.370141678909249</v>
      </c>
      <c r="U66" s="210">
        <f t="shared" si="37"/>
        <v>61.71125663424899</v>
      </c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3"/>
      <c r="BD66" s="31"/>
    </row>
    <row r="68" spans="2:59">
      <c r="B68" s="10"/>
      <c r="C68" s="27"/>
      <c r="D68" s="28"/>
      <c r="E68" s="28"/>
      <c r="F68" s="29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30"/>
      <c r="BD68" s="31"/>
      <c r="BF68" s="36" t="s">
        <v>75</v>
      </c>
      <c r="BG68" s="36"/>
    </row>
    <row r="69" spans="2:59">
      <c r="B69" s="14"/>
      <c r="C69" s="32" t="s">
        <v>76</v>
      </c>
      <c r="D69" s="31"/>
      <c r="E69" s="31"/>
      <c r="F69" s="33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4"/>
      <c r="BD69" s="31"/>
    </row>
    <row r="70" spans="2:59">
      <c r="B70" s="14"/>
      <c r="C70" s="35"/>
      <c r="D70" s="31" t="s">
        <v>19</v>
      </c>
      <c r="E70" s="31"/>
      <c r="F70" s="7" t="s">
        <v>7</v>
      </c>
      <c r="G70" s="95">
        <v>2010</v>
      </c>
      <c r="H70" s="8">
        <v>2011</v>
      </c>
      <c r="I70" s="8">
        <v>2012</v>
      </c>
      <c r="J70" s="8">
        <v>2013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9">
        <v>2014</v>
      </c>
      <c r="BC70" s="34"/>
      <c r="BD70" s="31"/>
    </row>
    <row r="71" spans="2:59">
      <c r="B71" s="14"/>
      <c r="C71" s="35"/>
      <c r="D71" s="31"/>
      <c r="E71" s="64" t="s">
        <v>21</v>
      </c>
      <c r="F71" s="11"/>
      <c r="G71" s="96">
        <v>0.52</v>
      </c>
      <c r="H71" s="12">
        <v>0.54</v>
      </c>
      <c r="I71" s="12">
        <v>0.56000000000000005</v>
      </c>
      <c r="J71" s="12">
        <v>0.57999999999999996</v>
      </c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3">
        <v>0.6</v>
      </c>
      <c r="BC71" s="34"/>
      <c r="BD71" s="31"/>
    </row>
    <row r="72" spans="2:59">
      <c r="B72" s="14"/>
      <c r="C72" s="35"/>
      <c r="D72" s="31"/>
      <c r="E72" s="97" t="s">
        <v>22</v>
      </c>
      <c r="F72" s="15"/>
      <c r="G72" s="98">
        <v>1.004</v>
      </c>
      <c r="H72" s="38">
        <v>1.008</v>
      </c>
      <c r="I72" s="38">
        <v>1.01</v>
      </c>
      <c r="J72" s="38">
        <v>1.0109999999999999</v>
      </c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9">
        <v>1.012</v>
      </c>
      <c r="BC72" s="34"/>
      <c r="BD72" s="31"/>
    </row>
    <row r="73" spans="2:59">
      <c r="B73" s="14"/>
      <c r="C73" s="35"/>
      <c r="D73" s="31"/>
      <c r="E73" s="97" t="s">
        <v>77</v>
      </c>
      <c r="F73" s="41" t="s">
        <v>24</v>
      </c>
      <c r="G73" s="99">
        <v>1.9206666666666665</v>
      </c>
      <c r="H73" s="100">
        <f>+G73</f>
        <v>1.9206666666666665</v>
      </c>
      <c r="I73" s="100">
        <f t="shared" ref="I73:J76" si="38">+H73</f>
        <v>1.9206666666666665</v>
      </c>
      <c r="J73" s="100">
        <f t="shared" si="38"/>
        <v>1.9206666666666665</v>
      </c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1">
        <f>+J73</f>
        <v>1.9206666666666665</v>
      </c>
      <c r="BC73" s="34"/>
      <c r="BD73" s="31"/>
    </row>
    <row r="74" spans="2:59">
      <c r="B74" s="14"/>
      <c r="C74" s="35"/>
      <c r="D74" s="31"/>
      <c r="E74" s="97" t="s">
        <v>78</v>
      </c>
      <c r="F74" s="15"/>
      <c r="G74" s="102">
        <v>2.081</v>
      </c>
      <c r="H74" s="31">
        <f>+G74</f>
        <v>2.081</v>
      </c>
      <c r="I74" s="31">
        <f t="shared" si="38"/>
        <v>2.081</v>
      </c>
      <c r="J74" s="31">
        <f t="shared" si="38"/>
        <v>2.081</v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4">
        <f>+J74</f>
        <v>2.081</v>
      </c>
      <c r="BC74" s="34"/>
      <c r="BD74" s="31"/>
    </row>
    <row r="75" spans="2:59">
      <c r="B75" s="14"/>
      <c r="C75" s="35"/>
      <c r="D75" s="31"/>
      <c r="E75" s="97" t="s">
        <v>79</v>
      </c>
      <c r="F75" s="15"/>
      <c r="G75" s="103">
        <v>0.03</v>
      </c>
      <c r="H75" s="31">
        <f>+G75</f>
        <v>0.03</v>
      </c>
      <c r="I75" s="31">
        <f t="shared" si="38"/>
        <v>0.03</v>
      </c>
      <c r="J75" s="31">
        <f t="shared" si="38"/>
        <v>0.03</v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4">
        <f>+J75</f>
        <v>0.03</v>
      </c>
      <c r="BC75" s="34"/>
      <c r="BD75" s="31"/>
    </row>
    <row r="76" spans="2:59">
      <c r="B76" s="14"/>
      <c r="C76" s="35"/>
      <c r="D76" s="31"/>
      <c r="E76" s="97" t="s">
        <v>28</v>
      </c>
      <c r="F76" s="15"/>
      <c r="G76" s="104"/>
      <c r="H76" s="31">
        <f>+G76</f>
        <v>0</v>
      </c>
      <c r="I76" s="31">
        <f t="shared" si="38"/>
        <v>0</v>
      </c>
      <c r="J76" s="31">
        <f t="shared" si="38"/>
        <v>0</v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4">
        <f>+J76</f>
        <v>0</v>
      </c>
      <c r="BC76" s="34"/>
      <c r="BD76" s="31"/>
    </row>
    <row r="77" spans="2:59">
      <c r="B77" s="14"/>
      <c r="C77" s="35"/>
      <c r="D77" s="31"/>
      <c r="E77" s="65" t="s">
        <v>29</v>
      </c>
      <c r="F77" s="20"/>
      <c r="G77" s="105">
        <v>0.24410000000000001</v>
      </c>
      <c r="H77" s="43">
        <v>0.24530000000000002</v>
      </c>
      <c r="I77" s="43">
        <v>0.24600000000000002</v>
      </c>
      <c r="J77" s="43">
        <v>0.24660000000000001</v>
      </c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4">
        <v>0.2472</v>
      </c>
      <c r="BC77" s="34"/>
      <c r="BD77" s="31"/>
    </row>
    <row r="78" spans="2:59">
      <c r="B78" s="14"/>
      <c r="C78" s="35"/>
      <c r="D78" s="31"/>
      <c r="E78" s="10" t="s">
        <v>30</v>
      </c>
      <c r="F78" s="11" t="s">
        <v>31</v>
      </c>
      <c r="G78" s="106">
        <v>1057.2</v>
      </c>
      <c r="H78" s="28">
        <f>+G78</f>
        <v>1057.2</v>
      </c>
      <c r="I78" s="28">
        <f t="shared" ref="I78:J82" si="39">+H78</f>
        <v>1057.2</v>
      </c>
      <c r="J78" s="28">
        <f t="shared" si="39"/>
        <v>1057.2</v>
      </c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30">
        <f>+J78</f>
        <v>1057.2</v>
      </c>
      <c r="BC78" s="34"/>
      <c r="BD78" s="31"/>
    </row>
    <row r="79" spans="2:59">
      <c r="B79" s="14"/>
      <c r="C79" s="35"/>
      <c r="D79" s="31"/>
      <c r="E79" s="19" t="s">
        <v>32</v>
      </c>
      <c r="F79" s="20" t="s">
        <v>33</v>
      </c>
      <c r="G79" s="107">
        <v>12471.07</v>
      </c>
      <c r="H79" s="22">
        <f>+G79</f>
        <v>12471.07</v>
      </c>
      <c r="I79" s="22">
        <f t="shared" si="39"/>
        <v>12471.07</v>
      </c>
      <c r="J79" s="22">
        <f t="shared" si="39"/>
        <v>12471.07</v>
      </c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3">
        <f>+J79</f>
        <v>12471.07</v>
      </c>
      <c r="BC79" s="34"/>
      <c r="BD79" s="31"/>
    </row>
    <row r="80" spans="2:59">
      <c r="B80" s="14"/>
      <c r="C80" s="35"/>
      <c r="D80" s="31"/>
      <c r="E80" s="46" t="s">
        <v>34</v>
      </c>
      <c r="F80" s="11" t="s">
        <v>35</v>
      </c>
      <c r="G80" s="108">
        <v>13931608</v>
      </c>
      <c r="H80" s="48">
        <f>+G80</f>
        <v>13931608</v>
      </c>
      <c r="I80" s="28">
        <f t="shared" si="39"/>
        <v>13931608</v>
      </c>
      <c r="J80" s="28">
        <f t="shared" si="39"/>
        <v>13931608</v>
      </c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30">
        <f>+J80</f>
        <v>13931608</v>
      </c>
      <c r="BC80" s="34"/>
      <c r="BD80" s="31"/>
    </row>
    <row r="81" spans="2:63">
      <c r="B81" s="14"/>
      <c r="C81" s="35"/>
      <c r="D81" s="31"/>
      <c r="E81" s="49" t="s">
        <v>36</v>
      </c>
      <c r="F81" s="15"/>
      <c r="G81" s="98">
        <v>0.22789999999999999</v>
      </c>
      <c r="H81" s="50">
        <f>+G81</f>
        <v>0.22789999999999999</v>
      </c>
      <c r="I81" s="50">
        <f t="shared" si="39"/>
        <v>0.22789999999999999</v>
      </c>
      <c r="J81" s="50">
        <f t="shared" si="39"/>
        <v>0.22789999999999999</v>
      </c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1">
        <f>+J81</f>
        <v>0.22789999999999999</v>
      </c>
      <c r="BC81" s="34"/>
      <c r="BD81" s="31"/>
    </row>
    <row r="82" spans="2:63">
      <c r="B82" s="14"/>
      <c r="C82" s="35"/>
      <c r="D82" s="31"/>
      <c r="E82" s="49" t="s">
        <v>37</v>
      </c>
      <c r="F82" s="15"/>
      <c r="G82" s="98">
        <v>0.77210000000000001</v>
      </c>
      <c r="H82" s="50">
        <f>+G82</f>
        <v>0.77210000000000001</v>
      </c>
      <c r="I82" s="50">
        <f t="shared" si="39"/>
        <v>0.77210000000000001</v>
      </c>
      <c r="J82" s="50">
        <f t="shared" si="39"/>
        <v>0.77210000000000001</v>
      </c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1">
        <f>+J82</f>
        <v>0.77210000000000001</v>
      </c>
      <c r="BC82" s="34"/>
      <c r="BD82" s="31"/>
    </row>
    <row r="83" spans="2:63">
      <c r="B83" s="14"/>
      <c r="C83" s="35"/>
      <c r="D83" s="31"/>
      <c r="E83" s="49" t="s">
        <v>38</v>
      </c>
      <c r="F83" s="52">
        <v>1</v>
      </c>
      <c r="G83" s="109">
        <f>G84</f>
        <v>1.0360400000000001</v>
      </c>
      <c r="H83" s="53">
        <f>H84</f>
        <v>1.0733788816000001</v>
      </c>
      <c r="I83" s="53">
        <f>I84</f>
        <v>1.1120634564928642</v>
      </c>
      <c r="J83" s="53">
        <f>J84</f>
        <v>1.1521422234648668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4">
        <f>BB84</f>
        <v>1.1936654291985407</v>
      </c>
      <c r="BC83" s="34"/>
      <c r="BD83" s="31"/>
      <c r="BH83" s="110"/>
    </row>
    <row r="84" spans="2:63">
      <c r="B84" s="14"/>
      <c r="C84" s="35"/>
      <c r="D84" s="31"/>
      <c r="E84" s="55" t="s">
        <v>39</v>
      </c>
      <c r="F84" s="56">
        <v>1</v>
      </c>
      <c r="G84" s="111">
        <v>1.0360400000000001</v>
      </c>
      <c r="H84" s="57">
        <f>POWER($G$84,H70-$G$70+1)</f>
        <v>1.0733788816000001</v>
      </c>
      <c r="I84" s="57">
        <f>POWER($G$84,I70-$G$70+1)</f>
        <v>1.1120634564928642</v>
      </c>
      <c r="J84" s="57">
        <f>POWER($G$84,J70-$G$70+1)</f>
        <v>1.1521422234648668</v>
      </c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8">
        <f>POWER($G$84,BB70-$G$70+1)</f>
        <v>1.1936654291985407</v>
      </c>
      <c r="BC84" s="34"/>
      <c r="BD84" s="31"/>
    </row>
    <row r="85" spans="2:63">
      <c r="B85" s="14"/>
      <c r="C85" s="35"/>
      <c r="D85" s="31"/>
      <c r="E85" s="55" t="s">
        <v>40</v>
      </c>
      <c r="F85" s="56"/>
      <c r="G85" s="111">
        <v>0.19</v>
      </c>
      <c r="H85" s="57">
        <f>G85</f>
        <v>0.19</v>
      </c>
      <c r="I85" s="57">
        <f>H85</f>
        <v>0.19</v>
      </c>
      <c r="J85" s="57">
        <f>I85</f>
        <v>0.19</v>
      </c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8">
        <f>J85</f>
        <v>0.19</v>
      </c>
      <c r="BC85" s="34"/>
      <c r="BD85" s="31"/>
    </row>
    <row r="86" spans="2:63">
      <c r="B86" s="14"/>
      <c r="C86" s="35"/>
      <c r="D86" s="31"/>
      <c r="E86" s="55" t="s">
        <v>41</v>
      </c>
      <c r="F86" s="20" t="s">
        <v>42</v>
      </c>
      <c r="G86" s="112">
        <v>0.36499999999999999</v>
      </c>
      <c r="H86" s="22">
        <f>+G86</f>
        <v>0.36499999999999999</v>
      </c>
      <c r="I86" s="22">
        <f>+H86</f>
        <v>0.36499999999999999</v>
      </c>
      <c r="J86" s="22">
        <f>+I86</f>
        <v>0.36499999999999999</v>
      </c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3">
        <f>+J86</f>
        <v>0.36499999999999999</v>
      </c>
      <c r="BC86" s="34"/>
      <c r="BD86" s="31"/>
    </row>
    <row r="87" spans="2:63">
      <c r="B87" s="14"/>
      <c r="C87" s="35"/>
      <c r="D87" s="31"/>
      <c r="E87" s="59" t="s">
        <v>43</v>
      </c>
      <c r="F87" s="7" t="s">
        <v>44</v>
      </c>
      <c r="G87" s="113">
        <v>285009</v>
      </c>
      <c r="H87" s="61">
        <f>+G87</f>
        <v>285009</v>
      </c>
      <c r="I87" s="61">
        <f>+H87</f>
        <v>285009</v>
      </c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6"/>
      <c r="BC87" s="34"/>
      <c r="BD87" s="31"/>
    </row>
    <row r="88" spans="2:63">
      <c r="B88" s="14"/>
      <c r="C88" s="35"/>
      <c r="D88" s="31"/>
      <c r="E88" s="59" t="s">
        <v>45</v>
      </c>
      <c r="F88" s="7" t="s">
        <v>14</v>
      </c>
      <c r="G88" s="114">
        <v>0.45</v>
      </c>
      <c r="H88" s="62">
        <f>+G88</f>
        <v>0.45</v>
      </c>
      <c r="I88" s="62">
        <f>+H88</f>
        <v>0.45</v>
      </c>
      <c r="J88" s="62">
        <f>+I88</f>
        <v>0.45</v>
      </c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3">
        <f>+J88</f>
        <v>0.45</v>
      </c>
      <c r="BC88" s="34"/>
      <c r="BD88" s="31"/>
    </row>
    <row r="89" spans="2:63">
      <c r="B89" s="14"/>
      <c r="C89" s="35"/>
      <c r="D89" s="31"/>
      <c r="E89" s="31"/>
      <c r="F89" s="33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4"/>
      <c r="BD89" s="31"/>
    </row>
    <row r="90" spans="2:63">
      <c r="B90" s="14"/>
      <c r="C90" s="35"/>
      <c r="D90" s="31" t="s">
        <v>80</v>
      </c>
      <c r="E90" s="31"/>
      <c r="F90" s="7" t="s">
        <v>7</v>
      </c>
      <c r="G90" s="8">
        <v>2010</v>
      </c>
      <c r="H90" s="8">
        <v>2011</v>
      </c>
      <c r="I90" s="8">
        <v>2012</v>
      </c>
      <c r="J90" s="8">
        <v>2013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9">
        <v>2014</v>
      </c>
      <c r="BC90" s="34"/>
      <c r="BD90" s="31"/>
    </row>
    <row r="91" spans="2:63">
      <c r="B91" s="14"/>
      <c r="C91" s="35"/>
      <c r="D91" s="31"/>
      <c r="E91" s="64" t="s">
        <v>47</v>
      </c>
      <c r="F91" s="11"/>
      <c r="G91" s="12">
        <v>200</v>
      </c>
      <c r="H91" s="12">
        <f>+G91</f>
        <v>200</v>
      </c>
      <c r="I91" s="12">
        <f>+H91</f>
        <v>200</v>
      </c>
      <c r="J91" s="28">
        <f>+I91</f>
        <v>200</v>
      </c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30">
        <f>+J91</f>
        <v>200</v>
      </c>
      <c r="BC91" s="34"/>
      <c r="BD91" s="31"/>
    </row>
    <row r="92" spans="2:63">
      <c r="B92" s="14"/>
      <c r="C92" s="35"/>
      <c r="D92" s="31"/>
      <c r="E92" s="65" t="s">
        <v>48</v>
      </c>
      <c r="F92" s="20" t="s">
        <v>49</v>
      </c>
      <c r="G92" s="22">
        <f>+G91*G$10/1000</f>
        <v>901</v>
      </c>
      <c r="H92" s="22">
        <f>+H91*H$10/1000</f>
        <v>846.4</v>
      </c>
      <c r="I92" s="22">
        <f>+I91*I$10/1000</f>
        <v>827</v>
      </c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3"/>
      <c r="BC92" s="34"/>
      <c r="BD92" s="31"/>
    </row>
    <row r="93" spans="2:63">
      <c r="B93" s="14"/>
      <c r="C93" s="35"/>
      <c r="D93" s="31"/>
      <c r="E93" s="31"/>
      <c r="F93" s="33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4"/>
      <c r="BD93" s="31"/>
      <c r="BG93" t="s">
        <v>81</v>
      </c>
    </row>
    <row r="94" spans="2:63">
      <c r="B94" s="14"/>
      <c r="C94" s="35"/>
      <c r="D94" s="31"/>
      <c r="E94" s="31"/>
      <c r="F94" s="7" t="s">
        <v>7</v>
      </c>
      <c r="G94" s="8">
        <v>2010</v>
      </c>
      <c r="H94" s="8">
        <v>2011</v>
      </c>
      <c r="I94" s="8">
        <v>2012</v>
      </c>
      <c r="J94" s="8">
        <v>2013</v>
      </c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9">
        <v>2014</v>
      </c>
      <c r="BC94" s="34"/>
      <c r="BD94" s="34"/>
      <c r="BG94" s="95">
        <v>2010</v>
      </c>
      <c r="BH94" s="8">
        <v>2011</v>
      </c>
      <c r="BI94" s="8">
        <v>2012</v>
      </c>
      <c r="BJ94" s="8">
        <v>2013</v>
      </c>
      <c r="BK94" s="9">
        <v>2014</v>
      </c>
    </row>
    <row r="95" spans="2:63">
      <c r="B95" s="14"/>
      <c r="C95" s="35"/>
      <c r="D95" s="66" t="s">
        <v>82</v>
      </c>
      <c r="E95" s="28"/>
      <c r="F95" s="11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30"/>
      <c r="BC95" s="34"/>
      <c r="BD95" s="34"/>
      <c r="BE95" s="66" t="s">
        <v>83</v>
      </c>
      <c r="BF95" s="28"/>
      <c r="BG95" s="10"/>
      <c r="BH95" s="28"/>
      <c r="BI95" s="28"/>
      <c r="BJ95" s="28"/>
      <c r="BK95" s="30"/>
    </row>
    <row r="96" spans="2:63">
      <c r="B96" s="14"/>
      <c r="C96" s="35"/>
      <c r="D96" s="14"/>
      <c r="E96" s="31" t="s">
        <v>51</v>
      </c>
      <c r="F96" s="15" t="s">
        <v>52</v>
      </c>
      <c r="G96" s="67">
        <f>+G71+(G72*G13*G74)+G85</f>
        <v>28.936767240000002</v>
      </c>
      <c r="H96" s="67">
        <f>+H71+(H72*H13*H74)+H85</f>
        <v>39.473558560000001</v>
      </c>
      <c r="I96" s="67">
        <f>+I71+(I72*I13*I74)+I85</f>
        <v>43.059435299999997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4"/>
      <c r="BC96" s="34"/>
      <c r="BD96" s="34"/>
      <c r="BE96" s="14"/>
      <c r="BF96" s="31" t="s">
        <v>51</v>
      </c>
      <c r="BG96" s="115">
        <f>+G46-G96</f>
        <v>3.1369103173162216E-4</v>
      </c>
      <c r="BH96" s="67">
        <f>+H46-H96</f>
        <v>4.3056672959096431E-4</v>
      </c>
      <c r="BI96" s="67">
        <f>+I46-I96</f>
        <v>4.7019519799817999E-4</v>
      </c>
      <c r="BJ96" s="31">
        <f>+J46-J96</f>
        <v>43.121796490737786</v>
      </c>
      <c r="BK96" s="34">
        <f>+BB46-BB96</f>
        <v>0</v>
      </c>
    </row>
    <row r="97" spans="2:63">
      <c r="B97" s="68"/>
      <c r="C97" s="69"/>
      <c r="D97" s="68"/>
      <c r="E97" s="70" t="s">
        <v>53</v>
      </c>
      <c r="F97" s="41" t="s">
        <v>52</v>
      </c>
      <c r="G97" s="71"/>
      <c r="H97" s="71"/>
      <c r="I97" s="71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3"/>
      <c r="BC97" s="73"/>
      <c r="BD97" s="73"/>
      <c r="BE97" s="68"/>
      <c r="BF97" s="70" t="s">
        <v>53</v>
      </c>
      <c r="BG97" s="116"/>
      <c r="BH97" s="71"/>
      <c r="BI97" s="71"/>
      <c r="BJ97" s="72"/>
      <c r="BK97" s="73"/>
    </row>
    <row r="98" spans="2:63">
      <c r="B98" s="68"/>
      <c r="C98" s="69"/>
      <c r="D98" s="68"/>
      <c r="E98" s="70" t="s">
        <v>54</v>
      </c>
      <c r="F98" s="41" t="s">
        <v>52</v>
      </c>
      <c r="G98" s="71"/>
      <c r="H98" s="71"/>
      <c r="I98" s="71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3"/>
      <c r="BC98" s="73"/>
      <c r="BD98" s="73"/>
      <c r="BE98" s="68"/>
      <c r="BF98" s="70" t="s">
        <v>54</v>
      </c>
      <c r="BG98" s="116"/>
      <c r="BH98" s="71"/>
      <c r="BI98" s="71"/>
      <c r="BJ98" s="72"/>
      <c r="BK98" s="73"/>
    </row>
    <row r="99" spans="2:63">
      <c r="B99" s="75"/>
      <c r="C99" s="32"/>
      <c r="D99" s="76"/>
      <c r="E99" s="77" t="s">
        <v>55</v>
      </c>
      <c r="F99" s="78" t="s">
        <v>56</v>
      </c>
      <c r="G99" s="79">
        <f>+G92*G96</f>
        <v>26072.027283240001</v>
      </c>
      <c r="H99" s="79">
        <f>+H92*H96</f>
        <v>33410.419965184003</v>
      </c>
      <c r="I99" s="79">
        <f>+I92*I96</f>
        <v>35610.152993099997</v>
      </c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80"/>
      <c r="BC99" s="81"/>
      <c r="BD99" s="81"/>
      <c r="BE99" s="76"/>
      <c r="BF99" s="77" t="s">
        <v>55</v>
      </c>
      <c r="BG99" s="117">
        <f>+G49-G99</f>
        <v>0.28263561959101935</v>
      </c>
      <c r="BH99" s="79">
        <f>+H49-H99</f>
        <v>0.36443167992547387</v>
      </c>
      <c r="BI99" s="79">
        <f>+I49-I99</f>
        <v>0.38885142874642042</v>
      </c>
      <c r="BJ99" s="77">
        <f>+J49-J99</f>
        <v>27597.949754072182</v>
      </c>
      <c r="BK99" s="80">
        <f>+BB49-BB99</f>
        <v>0</v>
      </c>
    </row>
    <row r="100" spans="2:63">
      <c r="B100" s="14"/>
      <c r="C100" s="35"/>
      <c r="D100" s="66" t="s">
        <v>57</v>
      </c>
      <c r="E100" s="28"/>
      <c r="F100" s="11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30"/>
      <c r="BC100" s="34"/>
      <c r="BD100" s="34"/>
      <c r="BE100" s="66" t="s">
        <v>57</v>
      </c>
      <c r="BF100" s="28"/>
      <c r="BG100" s="10"/>
      <c r="BH100" s="28"/>
      <c r="BI100" s="28"/>
      <c r="BJ100" s="28"/>
      <c r="BK100" s="30"/>
    </row>
    <row r="101" spans="2:63">
      <c r="B101" s="14"/>
      <c r="C101" s="35"/>
      <c r="D101" s="14"/>
      <c r="E101" s="31" t="s">
        <v>58</v>
      </c>
      <c r="F101" s="15" t="s">
        <v>56</v>
      </c>
      <c r="G101" s="67">
        <f>+G77*(G78*G$13+G79)/1000</f>
        <v>6.5306128322000001</v>
      </c>
      <c r="H101" s="67">
        <f>+H77*(H78*H$13+H79)/1000</f>
        <v>7.8489999961999999</v>
      </c>
      <c r="I101" s="67">
        <f>+I77*(I78*I$13+I79)/1000</f>
        <v>8.3031164760000014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4"/>
      <c r="BC101" s="34"/>
      <c r="BD101" s="34"/>
      <c r="BE101" s="14"/>
      <c r="BF101" s="31" t="s">
        <v>58</v>
      </c>
      <c r="BG101" s="115">
        <f>+G51-G101</f>
        <v>-1.7086999999804675E-5</v>
      </c>
      <c r="BH101" s="67">
        <f>+H51-H101</f>
        <v>-1.7170999999649439E-5</v>
      </c>
      <c r="BI101" s="67">
        <f>+I51-I101</f>
        <v>-1.7220000000151003E-5</v>
      </c>
      <c r="BJ101" s="31">
        <f>+J51-J101</f>
        <v>8.3233507176000003</v>
      </c>
      <c r="BK101" s="34">
        <f t="shared" ref="BK101:BK102" si="40">+BB51-BB101</f>
        <v>0</v>
      </c>
    </row>
    <row r="102" spans="2:63">
      <c r="B102" s="75"/>
      <c r="C102" s="32"/>
      <c r="D102" s="76"/>
      <c r="E102" s="77" t="s">
        <v>59</v>
      </c>
      <c r="F102" s="78" t="s">
        <v>56</v>
      </c>
      <c r="G102" s="79">
        <f>+G101*G$12</f>
        <v>548.57147790479996</v>
      </c>
      <c r="H102" s="79">
        <f>+H101*H$12</f>
        <v>1271.5379993843999</v>
      </c>
      <c r="I102" s="79">
        <f>+I101*I$12</f>
        <v>1469.6516162520002</v>
      </c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80"/>
      <c r="BC102" s="81"/>
      <c r="BD102" s="81"/>
      <c r="BE102" s="76"/>
      <c r="BF102" s="77" t="s">
        <v>59</v>
      </c>
      <c r="BG102" s="117">
        <f>+G52-G102</f>
        <v>-1.4353079999409601E-3</v>
      </c>
      <c r="BH102" s="79">
        <f>+H52-H102</f>
        <v>-2.7817019997655734E-3</v>
      </c>
      <c r="BI102" s="79">
        <f>+I52-I102</f>
        <v>-3.0479399999876478E-3</v>
      </c>
      <c r="BJ102" s="77">
        <f>+J52-J102</f>
        <v>1414.9696219920002</v>
      </c>
      <c r="BK102" s="80">
        <f t="shared" si="40"/>
        <v>0</v>
      </c>
    </row>
    <row r="103" spans="2:63">
      <c r="B103" s="14"/>
      <c r="C103" s="35"/>
      <c r="D103" s="66" t="s">
        <v>60</v>
      </c>
      <c r="E103" s="28"/>
      <c r="F103" s="11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30"/>
      <c r="BC103" s="34"/>
      <c r="BD103" s="34"/>
      <c r="BE103" s="66" t="s">
        <v>60</v>
      </c>
      <c r="BF103" s="28"/>
      <c r="BG103" s="10"/>
      <c r="BH103" s="28"/>
      <c r="BI103" s="28"/>
      <c r="BJ103" s="28"/>
      <c r="BK103" s="30"/>
    </row>
    <row r="104" spans="2:63">
      <c r="B104" s="14"/>
      <c r="C104" s="35"/>
      <c r="D104" s="14"/>
      <c r="E104" s="31" t="s">
        <v>61</v>
      </c>
      <c r="F104" s="15" t="s">
        <v>62</v>
      </c>
      <c r="G104" s="83">
        <f>+G72*G86*(1-G75)*G92</f>
        <v>320.27504620000002</v>
      </c>
      <c r="H104" s="83">
        <f>+H72*H86*(1-H75)*H92</f>
        <v>302.06526335999996</v>
      </c>
      <c r="I104" s="83">
        <f>+I72*I86*(1-I75)*I92</f>
        <v>295.72734349999996</v>
      </c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4"/>
      <c r="BC104" s="34"/>
      <c r="BD104" s="34"/>
      <c r="BE104" s="14"/>
      <c r="BF104" s="31" t="s">
        <v>61</v>
      </c>
      <c r="BG104" s="118">
        <f>+G54-G104</f>
        <v>0</v>
      </c>
      <c r="BH104" s="83">
        <f>+H54-H104</f>
        <v>0</v>
      </c>
      <c r="BI104" s="83">
        <f>+I54-I104</f>
        <v>0</v>
      </c>
      <c r="BJ104" s="31">
        <f>+J54-J104</f>
        <v>229.08451199999996</v>
      </c>
      <c r="BK104" s="34">
        <f t="shared" ref="BK104:BK105" si="41">+BB54-BB104</f>
        <v>0</v>
      </c>
    </row>
    <row r="105" spans="2:63">
      <c r="B105" s="75"/>
      <c r="C105" s="32"/>
      <c r="D105" s="76"/>
      <c r="E105" s="77" t="s">
        <v>63</v>
      </c>
      <c r="F105" s="78" t="s">
        <v>56</v>
      </c>
      <c r="G105" s="79">
        <f>+G104*G$14</f>
        <v>4323.7131237000003</v>
      </c>
      <c r="H105" s="79">
        <f>+H104*H$14</f>
        <v>4228.9136870399998</v>
      </c>
      <c r="I105" s="79">
        <f>+I104*I$14</f>
        <v>4435.9101524999996</v>
      </c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80"/>
      <c r="BC105" s="81"/>
      <c r="BD105" s="81"/>
      <c r="BE105" s="76"/>
      <c r="BF105" s="77" t="s">
        <v>63</v>
      </c>
      <c r="BG105" s="117">
        <f>+G55-G105</f>
        <v>0</v>
      </c>
      <c r="BH105" s="79">
        <f>+H55-H105</f>
        <v>0</v>
      </c>
      <c r="BI105" s="79">
        <f>+I55-I105</f>
        <v>0</v>
      </c>
      <c r="BJ105" s="77">
        <f>+J55-J105</f>
        <v>3436.2676799999995</v>
      </c>
      <c r="BK105" s="80">
        <f t="shared" si="41"/>
        <v>0</v>
      </c>
    </row>
    <row r="106" spans="2:63">
      <c r="B106" s="75"/>
      <c r="C106" s="32"/>
      <c r="D106" s="84" t="s">
        <v>64</v>
      </c>
      <c r="E106" s="82"/>
      <c r="F106" s="85"/>
      <c r="G106" s="86"/>
      <c r="H106" s="86"/>
      <c r="I106" s="86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1"/>
      <c r="BC106" s="81"/>
      <c r="BD106" s="81"/>
      <c r="BE106" s="84" t="s">
        <v>64</v>
      </c>
      <c r="BF106" s="82"/>
      <c r="BG106" s="119"/>
      <c r="BH106" s="86"/>
      <c r="BI106" s="86"/>
      <c r="BJ106" s="82"/>
      <c r="BK106" s="81"/>
    </row>
    <row r="107" spans="2:63">
      <c r="B107" s="75"/>
      <c r="C107" s="32"/>
      <c r="D107" s="75"/>
      <c r="E107" s="82" t="s">
        <v>65</v>
      </c>
      <c r="F107" s="15" t="s">
        <v>66</v>
      </c>
      <c r="G107" s="86">
        <f>+G73*G92*(1-G75)</f>
        <v>1678.6050466666666</v>
      </c>
      <c r="H107" s="86">
        <f>+H73*H92*(1-H75)</f>
        <v>1576.8826986666666</v>
      </c>
      <c r="I107" s="86">
        <f>+I73*I92*(1-I75)</f>
        <v>1540.7395933333332</v>
      </c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1"/>
      <c r="BC107" s="81"/>
      <c r="BD107" s="81"/>
      <c r="BE107" s="75"/>
      <c r="BF107" s="82" t="s">
        <v>65</v>
      </c>
      <c r="BG107" s="118">
        <f>+G57-G107</f>
        <v>0</v>
      </c>
      <c r="BH107" s="83">
        <f>+H57-H107</f>
        <v>0</v>
      </c>
      <c r="BI107" s="83">
        <f>+I57-I107</f>
        <v>0</v>
      </c>
      <c r="BJ107" s="31">
        <f>+J57-J107</f>
        <v>1192.3498666666665</v>
      </c>
      <c r="BK107" s="34">
        <f t="shared" ref="BK107:BK109" si="42">+BB57-BB107</f>
        <v>0</v>
      </c>
    </row>
    <row r="108" spans="2:63">
      <c r="B108" s="75"/>
      <c r="C108" s="32"/>
      <c r="D108" s="75"/>
      <c r="E108" s="82" t="s">
        <v>67</v>
      </c>
      <c r="F108" s="85" t="s">
        <v>56</v>
      </c>
      <c r="G108" s="86">
        <f>++(G72*G88*G74)*G92</f>
        <v>847.11641580000003</v>
      </c>
      <c r="H108" s="86">
        <f>++(H72*H88*H74)*H92</f>
        <v>798.95217023999987</v>
      </c>
      <c r="I108" s="86">
        <f>++(I72*I88*I74)*I92</f>
        <v>782.18859150000003</v>
      </c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1"/>
      <c r="BC108" s="81"/>
      <c r="BD108" s="81"/>
      <c r="BE108" s="75"/>
      <c r="BF108" s="82" t="s">
        <v>67</v>
      </c>
      <c r="BG108" s="119">
        <f>+G58-G108</f>
        <v>9.4142138279948995E-3</v>
      </c>
      <c r="BH108" s="86">
        <f>+H58-H108</f>
        <v>8.8789526785149064E-3</v>
      </c>
      <c r="BI108" s="86">
        <f>+I58-I108</f>
        <v>8.69265488995552E-3</v>
      </c>
      <c r="BJ108" s="82">
        <f>+J58-J108</f>
        <v>605.92734174527993</v>
      </c>
      <c r="BK108" s="81">
        <f t="shared" si="42"/>
        <v>0</v>
      </c>
    </row>
    <row r="109" spans="2:63">
      <c r="B109" s="75"/>
      <c r="C109" s="32"/>
      <c r="D109" s="87" t="s">
        <v>68</v>
      </c>
      <c r="E109" s="88"/>
      <c r="F109" s="89"/>
      <c r="G109" s="90">
        <f>+G99+G102+G105+G108</f>
        <v>31791.428300644799</v>
      </c>
      <c r="H109" s="90">
        <f>+H99+H102+H105+H108</f>
        <v>39709.823821848397</v>
      </c>
      <c r="I109" s="90">
        <f>+I99+I102+I105+I108</f>
        <v>42297.903353351998</v>
      </c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91"/>
      <c r="BC109" s="81"/>
      <c r="BD109" s="81"/>
      <c r="BE109" s="87" t="s">
        <v>68</v>
      </c>
      <c r="BF109" s="88"/>
      <c r="BG109" s="120">
        <f>+G59-G109</f>
        <v>0.29061452542009647</v>
      </c>
      <c r="BH109" s="121">
        <f>+H59-H109</f>
        <v>0.37052893060899805</v>
      </c>
      <c r="BI109" s="121">
        <f>+I59-I109</f>
        <v>0.3944961436354788</v>
      </c>
      <c r="BJ109" s="122">
        <f>+J59-J109</f>
        <v>33055.114397809462</v>
      </c>
      <c r="BK109" s="123">
        <f t="shared" si="42"/>
        <v>0</v>
      </c>
    </row>
    <row r="110" spans="2:63">
      <c r="B110" s="14"/>
      <c r="C110" s="35"/>
      <c r="D110" s="66" t="s">
        <v>69</v>
      </c>
      <c r="E110" s="28"/>
      <c r="F110" s="11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30"/>
      <c r="BC110" s="34"/>
      <c r="BD110" s="34"/>
      <c r="BE110" s="66" t="s">
        <v>69</v>
      </c>
      <c r="BF110" s="28"/>
      <c r="BG110" s="10"/>
      <c r="BH110" s="28"/>
      <c r="BI110" s="28"/>
      <c r="BJ110" s="28"/>
      <c r="BK110" s="30"/>
    </row>
    <row r="111" spans="2:63">
      <c r="B111" s="75"/>
      <c r="C111" s="32"/>
      <c r="D111" s="76"/>
      <c r="E111" s="77" t="s">
        <v>70</v>
      </c>
      <c r="F111" s="78" t="s">
        <v>56</v>
      </c>
      <c r="G111" s="79">
        <v>0</v>
      </c>
      <c r="H111" s="79">
        <v>0</v>
      </c>
      <c r="I111" s="79">
        <v>0</v>
      </c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80"/>
      <c r="BC111" s="81"/>
      <c r="BD111" s="81"/>
      <c r="BE111" s="76"/>
      <c r="BF111" s="77" t="s">
        <v>70</v>
      </c>
      <c r="BG111" s="117">
        <f>+G61-G111</f>
        <v>2348.8446263208748</v>
      </c>
      <c r="BH111" s="79">
        <f>+H61-H111</f>
        <v>3668.1901525569342</v>
      </c>
      <c r="BI111" s="79">
        <f>+I61-I111</f>
        <v>3811.2367081579755</v>
      </c>
      <c r="BJ111" s="77">
        <f>+J61-J111</f>
        <v>3958.2243954105247</v>
      </c>
      <c r="BK111" s="80">
        <f>+BB61-BB111</f>
        <v>0</v>
      </c>
    </row>
    <row r="112" spans="2:63">
      <c r="B112" s="14"/>
      <c r="C112" s="35"/>
      <c r="D112" s="84" t="s">
        <v>71</v>
      </c>
      <c r="E112" s="31"/>
      <c r="F112" s="15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4"/>
      <c r="BC112" s="34"/>
      <c r="BD112" s="34"/>
      <c r="BE112" s="84" t="s">
        <v>71</v>
      </c>
      <c r="BF112" s="31"/>
      <c r="BG112" s="14"/>
      <c r="BH112" s="31"/>
      <c r="BI112" s="31"/>
      <c r="BJ112" s="31"/>
      <c r="BK112" s="34"/>
    </row>
    <row r="113" spans="2:63">
      <c r="B113" s="75"/>
      <c r="C113" s="32"/>
      <c r="D113" s="75"/>
      <c r="E113" s="82" t="s">
        <v>72</v>
      </c>
      <c r="F113" s="78" t="s">
        <v>56</v>
      </c>
      <c r="G113" s="86">
        <v>0</v>
      </c>
      <c r="H113" s="86">
        <v>0</v>
      </c>
      <c r="I113" s="86">
        <v>0</v>
      </c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1"/>
      <c r="BC113" s="81"/>
      <c r="BD113" s="81"/>
      <c r="BE113" s="75"/>
      <c r="BF113" s="82" t="s">
        <v>72</v>
      </c>
      <c r="BG113" s="119">
        <f>+G63-G113</f>
        <v>556.56557520000013</v>
      </c>
      <c r="BH113" s="86">
        <f>+H63-H113</f>
        <v>838.95249239999998</v>
      </c>
      <c r="BI113" s="86">
        <f>+I63-I113</f>
        <v>841.34656800000005</v>
      </c>
      <c r="BJ113" s="82">
        <f>+J63-J113</f>
        <v>843.39863279999997</v>
      </c>
      <c r="BK113" s="81">
        <f t="shared" ref="BK113:BK115" si="43">+BB63-BB113</f>
        <v>0</v>
      </c>
    </row>
    <row r="114" spans="2:63">
      <c r="B114" s="75"/>
      <c r="C114" s="32"/>
      <c r="D114" s="87" t="s">
        <v>73</v>
      </c>
      <c r="E114" s="88"/>
      <c r="F114" s="89"/>
      <c r="G114" s="90">
        <f>+G113+G111</f>
        <v>0</v>
      </c>
      <c r="H114" s="90">
        <f>+H113+H111</f>
        <v>0</v>
      </c>
      <c r="I114" s="90">
        <f>+I113+I111</f>
        <v>0</v>
      </c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91"/>
      <c r="BC114" s="81"/>
      <c r="BD114" s="81"/>
      <c r="BE114" s="87" t="s">
        <v>73</v>
      </c>
      <c r="BF114" s="88"/>
      <c r="BG114" s="124">
        <f>+G64-G114</f>
        <v>2905.410201520875</v>
      </c>
      <c r="BH114" s="90">
        <f>+H64-H114</f>
        <v>4507.1426449569344</v>
      </c>
      <c r="BI114" s="90">
        <f>+I64-I114</f>
        <v>4652.5832761579759</v>
      </c>
      <c r="BJ114" s="88">
        <f>+J64-J114</f>
        <v>4801.6230282105244</v>
      </c>
      <c r="BK114" s="91">
        <f t="shared" si="43"/>
        <v>0</v>
      </c>
    </row>
    <row r="115" spans="2:63">
      <c r="B115" s="14"/>
      <c r="C115" s="35"/>
      <c r="D115" s="87" t="s">
        <v>74</v>
      </c>
      <c r="E115" s="88"/>
      <c r="F115" s="89"/>
      <c r="G115" s="90">
        <f>+G113+G111+G105+G102+G99</f>
        <v>30944.311884844799</v>
      </c>
      <c r="H115" s="90">
        <f>+H113+H111+H105+H102+H99</f>
        <v>38910.871651608402</v>
      </c>
      <c r="I115" s="90">
        <f>+I113+I111+I105+I102+I99</f>
        <v>41515.714761851996</v>
      </c>
      <c r="J115" s="90">
        <f>+J113+J111+J105+J102+J99</f>
        <v>0</v>
      </c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2">
        <f>+BB113+BB111+BB105+BB102+BB99</f>
        <v>0</v>
      </c>
      <c r="BC115" s="34"/>
      <c r="BD115" s="34"/>
      <c r="BE115" s="87" t="s">
        <v>74</v>
      </c>
      <c r="BF115" s="88"/>
      <c r="BG115" s="124">
        <f>+G65-G115</f>
        <v>2905.6914018324678</v>
      </c>
      <c r="BH115" s="90">
        <f>+H65-H115</f>
        <v>4507.5042949348572</v>
      </c>
      <c r="BI115" s="90">
        <f>+I65-I115</f>
        <v>4652.9690796467257</v>
      </c>
      <c r="BJ115" s="90">
        <f>+J65-J115</f>
        <v>37250.810084274708</v>
      </c>
      <c r="BK115" s="92">
        <f t="shared" si="43"/>
        <v>0</v>
      </c>
    </row>
    <row r="116" spans="2:63">
      <c r="B116" s="19"/>
      <c r="C116" s="93"/>
      <c r="D116" s="22"/>
      <c r="E116" s="22"/>
      <c r="F116" s="94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3"/>
      <c r="BD116" s="31"/>
    </row>
    <row r="118" spans="2:63">
      <c r="B118" s="10"/>
      <c r="C118" s="27"/>
      <c r="D118" s="28"/>
      <c r="E118" s="28"/>
      <c r="F118" s="29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30"/>
      <c r="BD118" s="31"/>
    </row>
    <row r="119" spans="2:63">
      <c r="B119" s="14"/>
      <c r="C119" s="32" t="s">
        <v>84</v>
      </c>
      <c r="D119" s="31"/>
      <c r="E119" s="31"/>
      <c r="F119" s="33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4"/>
      <c r="BD119" s="31"/>
    </row>
    <row r="120" spans="2:63">
      <c r="B120" s="14"/>
      <c r="C120" s="35"/>
      <c r="D120" s="31" t="s">
        <v>19</v>
      </c>
      <c r="E120" s="31"/>
      <c r="F120" s="7" t="s">
        <v>7</v>
      </c>
      <c r="G120" s="8">
        <v>2010</v>
      </c>
      <c r="H120" s="8">
        <v>2011</v>
      </c>
      <c r="I120" s="8">
        <v>2012</v>
      </c>
      <c r="J120" s="8">
        <v>2013</v>
      </c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9">
        <v>2014</v>
      </c>
      <c r="BC120" s="34"/>
      <c r="BD120" s="31"/>
      <c r="BF120" s="36" t="s">
        <v>85</v>
      </c>
      <c r="BG120" s="36"/>
    </row>
    <row r="121" spans="2:63">
      <c r="B121" s="14"/>
      <c r="C121" s="35"/>
      <c r="D121" s="31"/>
      <c r="E121" s="10" t="s">
        <v>86</v>
      </c>
      <c r="F121" s="11"/>
      <c r="G121" s="12">
        <v>0.52</v>
      </c>
      <c r="H121" s="12">
        <v>0.54</v>
      </c>
      <c r="I121" s="12">
        <v>0.56000000000000005</v>
      </c>
      <c r="J121" s="12">
        <v>0.57999999999999996</v>
      </c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3">
        <v>0.6</v>
      </c>
      <c r="BC121" s="34"/>
      <c r="BD121" s="31"/>
    </row>
    <row r="122" spans="2:63">
      <c r="B122" s="14"/>
      <c r="C122" s="35"/>
      <c r="D122" s="31"/>
      <c r="E122" s="14" t="s">
        <v>22</v>
      </c>
      <c r="F122" s="15"/>
      <c r="G122" s="38">
        <v>1.004</v>
      </c>
      <c r="H122" s="38">
        <v>1.008</v>
      </c>
      <c r="I122" s="38">
        <v>1.01</v>
      </c>
      <c r="J122" s="38">
        <v>1.0109999999999999</v>
      </c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9">
        <v>1.012</v>
      </c>
      <c r="BC122" s="34"/>
      <c r="BD122" s="31"/>
    </row>
    <row r="123" spans="2:63">
      <c r="B123" s="14"/>
      <c r="C123" s="35"/>
      <c r="D123" s="31"/>
      <c r="E123" s="125" t="s">
        <v>78</v>
      </c>
      <c r="F123" s="126"/>
      <c r="G123" s="16">
        <v>2.0894000000000004</v>
      </c>
      <c r="H123" s="16">
        <v>2.0977000000000001</v>
      </c>
      <c r="I123" s="16">
        <v>2.1019000000000001</v>
      </c>
      <c r="J123" s="16">
        <v>2.1040000000000001</v>
      </c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7">
        <v>2.1060000000000003</v>
      </c>
      <c r="BC123" s="34"/>
      <c r="BD123" s="31"/>
      <c r="BE123">
        <f>+G123*0.45</f>
        <v>0.94023000000000023</v>
      </c>
    </row>
    <row r="124" spans="2:63">
      <c r="B124" s="14"/>
      <c r="C124" s="35"/>
      <c r="D124" s="31"/>
      <c r="E124" s="125" t="s">
        <v>87</v>
      </c>
      <c r="F124" s="15"/>
      <c r="G124" s="127">
        <v>1.65</v>
      </c>
      <c r="H124" s="16">
        <v>1.68</v>
      </c>
      <c r="I124" s="16">
        <v>1.7</v>
      </c>
      <c r="J124" s="16">
        <v>1.72</v>
      </c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7">
        <v>1.74</v>
      </c>
      <c r="BC124" s="34"/>
      <c r="BD124" s="31"/>
      <c r="BE124">
        <f>+BE123+G121</f>
        <v>1.4602300000000001</v>
      </c>
    </row>
    <row r="125" spans="2:63">
      <c r="B125" s="14"/>
      <c r="C125" s="35"/>
      <c r="D125" s="31"/>
      <c r="E125" s="14" t="s">
        <v>88</v>
      </c>
      <c r="F125" s="15"/>
      <c r="G125" s="127">
        <v>0.19</v>
      </c>
      <c r="H125" s="31">
        <f>+G125</f>
        <v>0.19</v>
      </c>
      <c r="I125" s="31">
        <f t="shared" ref="I125:J132" si="44">+H125</f>
        <v>0.19</v>
      </c>
      <c r="J125" s="31">
        <f t="shared" si="44"/>
        <v>0.19</v>
      </c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4">
        <f>+J125</f>
        <v>0.19</v>
      </c>
      <c r="BC125" s="34"/>
      <c r="BD125" s="31"/>
      <c r="BE125">
        <f>+BE124+0.19</f>
        <v>1.6502300000000001</v>
      </c>
    </row>
    <row r="126" spans="2:63">
      <c r="B126" s="14"/>
      <c r="C126" s="35"/>
      <c r="D126" s="31"/>
      <c r="E126" s="14" t="s">
        <v>89</v>
      </c>
      <c r="F126" s="15"/>
      <c r="G126" s="128">
        <f>G121+G125+G137</f>
        <v>1.6502300000000001</v>
      </c>
      <c r="H126" s="128">
        <f>H121+H125+H137</f>
        <v>1.6702300000000001</v>
      </c>
      <c r="I126" s="128">
        <f>I121+I125+I137</f>
        <v>1.6902300000000001</v>
      </c>
      <c r="J126" s="128">
        <f>J121+J125+J137</f>
        <v>1.7102300000000001</v>
      </c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  <c r="AV126" s="128"/>
      <c r="AW126" s="128"/>
      <c r="AX126" s="128"/>
      <c r="AY126" s="128"/>
      <c r="AZ126" s="128"/>
      <c r="BA126" s="128"/>
      <c r="BB126" s="128">
        <f>BB121+BB125+BB137</f>
        <v>1.7302300000000002</v>
      </c>
      <c r="BC126" s="34"/>
      <c r="BD126" s="31"/>
    </row>
    <row r="127" spans="2:63">
      <c r="B127" s="14"/>
      <c r="C127" s="35"/>
      <c r="D127" s="31"/>
      <c r="E127" s="10" t="s">
        <v>90</v>
      </c>
      <c r="F127" s="11"/>
      <c r="G127" s="12">
        <v>54.93</v>
      </c>
      <c r="H127" s="12">
        <v>55.64</v>
      </c>
      <c r="I127" s="12">
        <v>56.02</v>
      </c>
      <c r="J127" s="12">
        <v>56.27</v>
      </c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3">
        <v>56.52</v>
      </c>
      <c r="BC127" s="34"/>
      <c r="BD127" s="31"/>
    </row>
    <row r="128" spans="2:63">
      <c r="B128" s="14"/>
      <c r="C128" s="35"/>
      <c r="D128" s="31"/>
      <c r="E128" s="14" t="s">
        <v>30</v>
      </c>
      <c r="F128" s="15" t="s">
        <v>31</v>
      </c>
      <c r="G128" s="129">
        <v>287.88307786666672</v>
      </c>
      <c r="H128" s="129">
        <v>290.45089919999998</v>
      </c>
      <c r="I128" s="129">
        <v>291.85768000000002</v>
      </c>
      <c r="J128" s="129">
        <v>292.8592008</v>
      </c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30">
        <v>293.86213120000002</v>
      </c>
      <c r="BC128" s="34"/>
      <c r="BD128" s="31"/>
      <c r="BF128">
        <f>+H123*H137</f>
        <v>1.9723204710000006</v>
      </c>
    </row>
    <row r="129" spans="2:63">
      <c r="B129" s="14"/>
      <c r="C129" s="35"/>
      <c r="D129" s="31"/>
      <c r="E129" s="19" t="s">
        <v>32</v>
      </c>
      <c r="F129" s="20" t="s">
        <v>33</v>
      </c>
      <c r="G129" s="45">
        <v>3044.19</v>
      </c>
      <c r="H129" s="21">
        <v>3059.16</v>
      </c>
      <c r="I129" s="21">
        <v>3067.89</v>
      </c>
      <c r="J129" s="21">
        <v>3075.37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131">
        <v>3082.85</v>
      </c>
      <c r="BC129" s="34"/>
      <c r="BD129" s="31"/>
      <c r="BF129">
        <f>+BF128+H121</f>
        <v>2.5123204710000007</v>
      </c>
    </row>
    <row r="130" spans="2:63">
      <c r="B130" s="14"/>
      <c r="C130" s="35"/>
      <c r="D130" s="31"/>
      <c r="E130" s="46" t="s">
        <v>34</v>
      </c>
      <c r="F130" s="11" t="s">
        <v>35</v>
      </c>
      <c r="G130" s="47">
        <v>13931608</v>
      </c>
      <c r="H130" s="48">
        <f>+G130</f>
        <v>13931608</v>
      </c>
      <c r="I130" s="28">
        <f t="shared" si="44"/>
        <v>13931608</v>
      </c>
      <c r="J130" s="28">
        <f t="shared" si="44"/>
        <v>13931608</v>
      </c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30">
        <f>+J130</f>
        <v>13931608</v>
      </c>
      <c r="BC130" s="34"/>
      <c r="BD130" s="31"/>
    </row>
    <row r="131" spans="2:63">
      <c r="B131" s="14"/>
      <c r="C131" s="35"/>
      <c r="D131" s="31"/>
      <c r="E131" s="49" t="s">
        <v>36</v>
      </c>
      <c r="F131" s="15"/>
      <c r="G131" s="38">
        <v>0.22789999999999999</v>
      </c>
      <c r="H131" s="50">
        <f>+G131</f>
        <v>0.22789999999999999</v>
      </c>
      <c r="I131" s="50">
        <f t="shared" si="44"/>
        <v>0.22789999999999999</v>
      </c>
      <c r="J131" s="50">
        <f t="shared" si="44"/>
        <v>0.22789999999999999</v>
      </c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1">
        <f>+J131</f>
        <v>0.22789999999999999</v>
      </c>
      <c r="BC131" s="34"/>
      <c r="BD131" s="31"/>
    </row>
    <row r="132" spans="2:63">
      <c r="B132" s="14"/>
      <c r="C132" s="35"/>
      <c r="D132" s="31"/>
      <c r="E132" s="49" t="s">
        <v>37</v>
      </c>
      <c r="F132" s="15"/>
      <c r="G132" s="38">
        <v>0.77210000000000001</v>
      </c>
      <c r="H132" s="50">
        <f>+G132</f>
        <v>0.77210000000000001</v>
      </c>
      <c r="I132" s="50">
        <f t="shared" si="44"/>
        <v>0.77210000000000001</v>
      </c>
      <c r="J132" s="50">
        <f t="shared" si="44"/>
        <v>0.77210000000000001</v>
      </c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1">
        <f>+J132</f>
        <v>0.77210000000000001</v>
      </c>
      <c r="BC132" s="34"/>
      <c r="BD132" s="31"/>
    </row>
    <row r="133" spans="2:63">
      <c r="B133" s="14"/>
      <c r="C133" s="35"/>
      <c r="D133" s="31"/>
      <c r="E133" s="49" t="s">
        <v>38</v>
      </c>
      <c r="F133" s="52">
        <v>1</v>
      </c>
      <c r="G133" s="132">
        <v>1</v>
      </c>
      <c r="H133" s="16">
        <v>1</v>
      </c>
      <c r="I133" s="16">
        <v>1</v>
      </c>
      <c r="J133" s="16">
        <v>1</v>
      </c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7">
        <v>1</v>
      </c>
      <c r="BC133" s="34"/>
      <c r="BD133" s="31"/>
    </row>
    <row r="134" spans="2:63">
      <c r="B134" s="14"/>
      <c r="C134" s="35"/>
      <c r="D134" s="31"/>
      <c r="E134" s="55" t="s">
        <v>39</v>
      </c>
      <c r="F134" s="56">
        <v>1</v>
      </c>
      <c r="G134" s="45">
        <v>1</v>
      </c>
      <c r="H134" s="21">
        <v>1</v>
      </c>
      <c r="I134" s="21">
        <v>1</v>
      </c>
      <c r="J134" s="21">
        <v>1</v>
      </c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131">
        <v>1</v>
      </c>
      <c r="BC134" s="34"/>
      <c r="BD134" s="31"/>
    </row>
    <row r="135" spans="2:63">
      <c r="B135" s="14"/>
      <c r="C135" s="35"/>
      <c r="D135" s="31"/>
      <c r="E135" s="55" t="s">
        <v>41</v>
      </c>
      <c r="F135" s="20" t="s">
        <v>42</v>
      </c>
      <c r="G135" s="133">
        <v>0.36499999999999999</v>
      </c>
      <c r="H135" s="22">
        <f>+G135</f>
        <v>0.36499999999999999</v>
      </c>
      <c r="I135" s="22">
        <f>+H135</f>
        <v>0.36499999999999999</v>
      </c>
      <c r="J135" s="22">
        <f>+I135</f>
        <v>0.36499999999999999</v>
      </c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3">
        <f>+J135</f>
        <v>0.36499999999999999</v>
      </c>
      <c r="BC135" s="34"/>
      <c r="BD135" s="31"/>
      <c r="BH135">
        <v>-1</v>
      </c>
    </row>
    <row r="136" spans="2:63">
      <c r="B136" s="14"/>
      <c r="C136" s="35"/>
      <c r="D136" s="31"/>
      <c r="E136" s="59" t="s">
        <v>43</v>
      </c>
      <c r="F136" s="7" t="s">
        <v>44</v>
      </c>
      <c r="G136" s="60">
        <v>285009</v>
      </c>
      <c r="H136" s="61">
        <f>+G136</f>
        <v>285009</v>
      </c>
      <c r="I136" s="61">
        <f>+H136</f>
        <v>285009</v>
      </c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6"/>
      <c r="BC136" s="34"/>
      <c r="BD136" s="31"/>
    </row>
    <row r="137" spans="2:63">
      <c r="B137" s="14"/>
      <c r="C137" s="35"/>
      <c r="D137" s="31"/>
      <c r="E137" s="59" t="s">
        <v>91</v>
      </c>
      <c r="F137" s="134" t="s">
        <v>52</v>
      </c>
      <c r="G137" s="135">
        <v>0.94023000000000023</v>
      </c>
      <c r="H137" s="62">
        <v>0.94023000000000023</v>
      </c>
      <c r="I137" s="62">
        <v>0.94023000000000023</v>
      </c>
      <c r="J137" s="62">
        <v>0.94023000000000023</v>
      </c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3">
        <v>0.94023000000000023</v>
      </c>
      <c r="BC137" s="34"/>
      <c r="BD137" s="31"/>
    </row>
    <row r="138" spans="2:63">
      <c r="B138" s="14"/>
      <c r="C138" s="35"/>
      <c r="D138" s="31"/>
      <c r="E138" s="31"/>
      <c r="F138" s="33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4"/>
      <c r="BD138" s="31"/>
    </row>
    <row r="139" spans="2:63">
      <c r="B139" s="14"/>
      <c r="C139" s="35"/>
      <c r="D139" s="31" t="s">
        <v>80</v>
      </c>
      <c r="E139" s="31"/>
      <c r="F139" s="7" t="s">
        <v>7</v>
      </c>
      <c r="G139" s="8">
        <v>2010</v>
      </c>
      <c r="H139" s="8">
        <v>2011</v>
      </c>
      <c r="I139" s="8">
        <v>2012</v>
      </c>
      <c r="J139" s="8">
        <v>2013</v>
      </c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9">
        <v>2014</v>
      </c>
      <c r="BC139" s="34"/>
      <c r="BD139" s="31"/>
    </row>
    <row r="140" spans="2:63">
      <c r="B140" s="14"/>
      <c r="C140" s="35"/>
      <c r="D140" s="31"/>
      <c r="E140" s="64" t="s">
        <v>92</v>
      </c>
      <c r="F140" s="11"/>
      <c r="G140" s="12">
        <v>200</v>
      </c>
      <c r="H140" s="12">
        <f>+G140</f>
        <v>200</v>
      </c>
      <c r="I140" s="12">
        <f>+H140</f>
        <v>200</v>
      </c>
      <c r="J140" s="28">
        <f>+I140</f>
        <v>200</v>
      </c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30">
        <f>+J140</f>
        <v>200</v>
      </c>
      <c r="BC140" s="34"/>
      <c r="BD140" s="31"/>
    </row>
    <row r="141" spans="2:63">
      <c r="B141" s="14"/>
      <c r="C141" s="35"/>
      <c r="D141" s="31"/>
      <c r="E141" s="65" t="s">
        <v>48</v>
      </c>
      <c r="F141" s="20" t="s">
        <v>49</v>
      </c>
      <c r="G141" s="22">
        <f>+G140*G$10/1000</f>
        <v>901</v>
      </c>
      <c r="H141" s="22">
        <f>+H140*H$10/1000</f>
        <v>846.4</v>
      </c>
      <c r="I141" s="22">
        <f>+I140*I$10/1000</f>
        <v>827</v>
      </c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3"/>
      <c r="BC141" s="34"/>
      <c r="BD141" s="31"/>
    </row>
    <row r="142" spans="2:63">
      <c r="B142" s="14"/>
      <c r="C142" s="35"/>
      <c r="D142" s="31"/>
      <c r="E142" s="31"/>
      <c r="F142" s="33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4"/>
      <c r="BD142" s="31"/>
      <c r="BG142" t="s">
        <v>93</v>
      </c>
    </row>
    <row r="143" spans="2:63">
      <c r="B143" s="14"/>
      <c r="C143" s="35"/>
      <c r="D143" s="31"/>
      <c r="E143" s="31"/>
      <c r="F143" s="7" t="s">
        <v>7</v>
      </c>
      <c r="G143" s="8">
        <v>2010</v>
      </c>
      <c r="H143" s="8">
        <v>2011</v>
      </c>
      <c r="I143" s="8">
        <v>2012</v>
      </c>
      <c r="J143" s="8">
        <v>2013</v>
      </c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9">
        <v>2014</v>
      </c>
      <c r="BC143" s="34"/>
      <c r="BD143" s="31"/>
      <c r="BG143" s="95">
        <v>2010</v>
      </c>
      <c r="BH143" s="8">
        <v>2011</v>
      </c>
      <c r="BI143" s="8">
        <v>2012</v>
      </c>
      <c r="BJ143" s="8">
        <v>2013</v>
      </c>
      <c r="BK143" s="9">
        <v>2014</v>
      </c>
    </row>
    <row r="144" spans="2:63">
      <c r="B144" s="14"/>
      <c r="C144" s="35"/>
      <c r="D144" s="66" t="s">
        <v>82</v>
      </c>
      <c r="E144" s="28"/>
      <c r="F144" s="11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30"/>
      <c r="BC144" s="34"/>
      <c r="BD144" s="34"/>
      <c r="BE144" s="66" t="s">
        <v>83</v>
      </c>
      <c r="BF144" s="28"/>
      <c r="BG144" s="10"/>
      <c r="BH144" s="28"/>
      <c r="BI144" s="28"/>
      <c r="BJ144" s="28"/>
      <c r="BK144" s="30"/>
    </row>
    <row r="145" spans="2:63">
      <c r="B145" s="14"/>
      <c r="C145" s="35"/>
      <c r="D145" s="14"/>
      <c r="E145" s="31" t="s">
        <v>51</v>
      </c>
      <c r="F145" s="15" t="s">
        <v>52</v>
      </c>
      <c r="G145" s="67">
        <f>+G123*G$13+G121+G125</f>
        <v>28.937794000000004</v>
      </c>
      <c r="H145" s="67">
        <f>+H123*H$13+H121+H125</f>
        <v>39.474518999999994</v>
      </c>
      <c r="I145" s="67">
        <f>+I123*I$13+I121+I125</f>
        <v>43.061247000000002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4"/>
      <c r="BC145" s="34"/>
      <c r="BD145" s="34"/>
      <c r="BE145" s="14"/>
      <c r="BF145" s="31" t="s">
        <v>51</v>
      </c>
      <c r="BG145" s="115">
        <f>G145-G96</f>
        <v>1.0267600000020138E-3</v>
      </c>
      <c r="BH145" s="67">
        <f>H145-H96</f>
        <v>9.6043999999295693E-4</v>
      </c>
      <c r="BI145" s="67">
        <f>I145-I96</f>
        <v>1.8117000000046346E-3</v>
      </c>
      <c r="BJ145" s="31">
        <f>J145-J96</f>
        <v>0</v>
      </c>
      <c r="BK145" s="34">
        <f>BB145-BB96</f>
        <v>0</v>
      </c>
    </row>
    <row r="146" spans="2:63">
      <c r="B146" s="68"/>
      <c r="C146" s="69"/>
      <c r="D146" s="68"/>
      <c r="E146" s="70" t="s">
        <v>53</v>
      </c>
      <c r="F146" s="41" t="s">
        <v>52</v>
      </c>
      <c r="G146" s="71"/>
      <c r="H146" s="71"/>
      <c r="I146" s="71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3"/>
      <c r="BC146" s="73"/>
      <c r="BD146" s="73"/>
      <c r="BE146" s="68"/>
      <c r="BF146" s="70" t="s">
        <v>53</v>
      </c>
      <c r="BG146" s="116"/>
      <c r="BH146" s="71"/>
      <c r="BI146" s="71"/>
      <c r="BJ146" s="72"/>
      <c r="BK146" s="73"/>
    </row>
    <row r="147" spans="2:63">
      <c r="B147" s="68"/>
      <c r="C147" s="69"/>
      <c r="D147" s="68"/>
      <c r="E147" s="70" t="s">
        <v>54</v>
      </c>
      <c r="F147" s="41" t="s">
        <v>52</v>
      </c>
      <c r="G147" s="71"/>
      <c r="H147" s="71"/>
      <c r="I147" s="71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3"/>
      <c r="BC147" s="73"/>
      <c r="BD147" s="73"/>
      <c r="BE147" s="68"/>
      <c r="BF147" s="70" t="s">
        <v>54</v>
      </c>
      <c r="BG147" s="116"/>
      <c r="BH147" s="71"/>
      <c r="BI147" s="71"/>
      <c r="BJ147" s="72"/>
      <c r="BK147" s="73"/>
    </row>
    <row r="148" spans="2:63">
      <c r="B148" s="75"/>
      <c r="C148" s="32"/>
      <c r="D148" s="76"/>
      <c r="E148" s="77" t="s">
        <v>55</v>
      </c>
      <c r="F148" s="78" t="s">
        <v>56</v>
      </c>
      <c r="G148" s="79">
        <f>+G141*G145</f>
        <v>26072.952394000004</v>
      </c>
      <c r="H148" s="79">
        <f>+H141*H145</f>
        <v>33411.232881599994</v>
      </c>
      <c r="I148" s="79">
        <f>+I141*I145</f>
        <v>35611.651269000002</v>
      </c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80"/>
      <c r="BC148" s="81"/>
      <c r="BD148" s="81"/>
      <c r="BE148" s="76"/>
      <c r="BF148" s="77" t="s">
        <v>55</v>
      </c>
      <c r="BG148" s="117">
        <f>G148-G99</f>
        <v>0.92511076000300818</v>
      </c>
      <c r="BH148" s="79">
        <f>H148-H99</f>
        <v>0.81291641599091236</v>
      </c>
      <c r="BI148" s="79">
        <f>I148-I99</f>
        <v>1.4982759000049555</v>
      </c>
      <c r="BJ148" s="77">
        <f>J148-J99</f>
        <v>0</v>
      </c>
      <c r="BK148" s="80">
        <f>BB148-BB99</f>
        <v>0</v>
      </c>
    </row>
    <row r="149" spans="2:63">
      <c r="B149" s="14"/>
      <c r="C149" s="35"/>
      <c r="D149" s="66" t="s">
        <v>57</v>
      </c>
      <c r="E149" s="28"/>
      <c r="F149" s="11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30"/>
      <c r="BC149" s="34"/>
      <c r="BD149" s="34"/>
      <c r="BE149" s="66" t="s">
        <v>57</v>
      </c>
      <c r="BF149" s="28"/>
      <c r="BG149" s="10"/>
      <c r="BH149" s="28"/>
      <c r="BI149" s="28"/>
      <c r="BJ149" s="28"/>
      <c r="BK149" s="30"/>
    </row>
    <row r="150" spans="2:63">
      <c r="B150" s="14"/>
      <c r="C150" s="35"/>
      <c r="D150" s="14"/>
      <c r="E150" s="31" t="s">
        <v>58</v>
      </c>
      <c r="F150" s="15" t="s">
        <v>56</v>
      </c>
      <c r="G150" s="67">
        <f>+(G129+G128*G$13+G127*G$14)/1000</f>
        <v>7.6750453819786673</v>
      </c>
      <c r="H150" s="67">
        <f>+(H129+H128*H$13+H127*H$14)/1000</f>
        <v>9.2027481082239966</v>
      </c>
      <c r="I150" s="67">
        <f>+(I129+I128*I$13+I127*I$14)/1000</f>
        <v>9.7832850984000004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4"/>
      <c r="BC150" s="34"/>
      <c r="BD150" s="34"/>
      <c r="BE150" s="14"/>
      <c r="BF150" s="31" t="s">
        <v>58</v>
      </c>
      <c r="BG150" s="115"/>
      <c r="BH150" s="67"/>
      <c r="BI150" s="67"/>
      <c r="BJ150" s="31"/>
      <c r="BK150" s="34"/>
    </row>
    <row r="151" spans="2:63">
      <c r="B151" s="75"/>
      <c r="C151" s="32"/>
      <c r="D151" s="76"/>
      <c r="E151" s="77" t="s">
        <v>59</v>
      </c>
      <c r="F151" s="78" t="s">
        <v>56</v>
      </c>
      <c r="G151" s="79">
        <f>+G150*G$12</f>
        <v>644.70381208620802</v>
      </c>
      <c r="H151" s="79">
        <f>+H150*H$12</f>
        <v>1490.8451935322873</v>
      </c>
      <c r="I151" s="79">
        <f>+I150*I$12</f>
        <v>1731.6414624168001</v>
      </c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80"/>
      <c r="BC151" s="81"/>
      <c r="BD151" s="81"/>
      <c r="BE151" s="76"/>
      <c r="BF151" s="77" t="s">
        <v>59</v>
      </c>
      <c r="BG151" s="117">
        <f>G151-G102</f>
        <v>96.132334181408055</v>
      </c>
      <c r="BH151" s="79">
        <f>H151-H102</f>
        <v>219.30719414788746</v>
      </c>
      <c r="BI151" s="79">
        <f>I151-I102</f>
        <v>261.98984616479993</v>
      </c>
      <c r="BJ151" s="77">
        <f>J151-J102</f>
        <v>0</v>
      </c>
      <c r="BK151" s="80">
        <f>BB151-BB102</f>
        <v>0</v>
      </c>
    </row>
    <row r="152" spans="2:63">
      <c r="B152" s="14"/>
      <c r="C152" s="35"/>
      <c r="D152" s="66" t="s">
        <v>60</v>
      </c>
      <c r="E152" s="28"/>
      <c r="F152" s="11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30"/>
      <c r="BC152" s="34"/>
      <c r="BD152" s="34"/>
      <c r="BE152" s="66" t="s">
        <v>60</v>
      </c>
      <c r="BF152" s="28"/>
      <c r="BG152" s="10"/>
      <c r="BH152" s="28"/>
      <c r="BI152" s="28"/>
      <c r="BJ152" s="28"/>
      <c r="BK152" s="30"/>
    </row>
    <row r="153" spans="2:63">
      <c r="B153" s="14"/>
      <c r="C153" s="35"/>
      <c r="D153" s="14"/>
      <c r="E153" s="31" t="s">
        <v>61</v>
      </c>
      <c r="F153" s="15" t="s">
        <v>62</v>
      </c>
      <c r="G153" s="83">
        <f>+G135*G141</f>
        <v>328.86500000000001</v>
      </c>
      <c r="H153" s="83">
        <f>+H135*H141</f>
        <v>308.93599999999998</v>
      </c>
      <c r="I153" s="83">
        <f>+I135*I141</f>
        <v>301.85500000000002</v>
      </c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4"/>
      <c r="BC153" s="34"/>
      <c r="BD153" s="34"/>
      <c r="BE153" s="14"/>
      <c r="BF153" s="31" t="s">
        <v>61</v>
      </c>
      <c r="BG153" s="118">
        <f>(+G104-G153)*-1</f>
        <v>8.5899537999999893</v>
      </c>
      <c r="BH153" s="83">
        <f>(+H104-H153)*-1</f>
        <v>6.8707366400000183</v>
      </c>
      <c r="BI153" s="83">
        <f>(+I104-I153)*-1</f>
        <v>6.1276565000000573</v>
      </c>
      <c r="BJ153" s="31">
        <f>(+J104-J153)*-1</f>
        <v>0</v>
      </c>
      <c r="BK153" s="34">
        <f>(+BB104-BB153)*-1</f>
        <v>0</v>
      </c>
    </row>
    <row r="154" spans="2:63">
      <c r="B154" s="75"/>
      <c r="C154" s="32"/>
      <c r="D154" s="76"/>
      <c r="E154" s="77" t="s">
        <v>63</v>
      </c>
      <c r="F154" s="78" t="s">
        <v>56</v>
      </c>
      <c r="G154" s="79">
        <f>+G153*G$14</f>
        <v>4439.6774999999998</v>
      </c>
      <c r="H154" s="79">
        <f>+H153*H$14</f>
        <v>4325.1039999999994</v>
      </c>
      <c r="I154" s="79">
        <f>+I153*I$14</f>
        <v>4527.8250000000007</v>
      </c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80"/>
      <c r="BC154" s="81"/>
      <c r="BD154" s="81"/>
      <c r="BE154" s="76"/>
      <c r="BF154" s="77" t="s">
        <v>63</v>
      </c>
      <c r="BG154" s="117">
        <f>G154-G105</f>
        <v>115.96437629999946</v>
      </c>
      <c r="BH154" s="79">
        <f>H154-H105</f>
        <v>96.190312959999574</v>
      </c>
      <c r="BI154" s="79">
        <f>I154-I105</f>
        <v>91.914847500001088</v>
      </c>
      <c r="BJ154" s="77">
        <f>J154-J105</f>
        <v>0</v>
      </c>
      <c r="BK154" s="80">
        <f>BB154-BB105</f>
        <v>0</v>
      </c>
    </row>
    <row r="155" spans="2:63">
      <c r="B155" s="75"/>
      <c r="C155" s="32"/>
      <c r="D155" s="84" t="s">
        <v>64</v>
      </c>
      <c r="E155" s="82"/>
      <c r="F155" s="85"/>
      <c r="G155" s="86"/>
      <c r="H155" s="86"/>
      <c r="I155" s="86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1"/>
      <c r="BC155" s="81"/>
      <c r="BD155" s="81"/>
      <c r="BE155" s="84" t="s">
        <v>64</v>
      </c>
      <c r="BF155" s="82"/>
      <c r="BG155" s="119"/>
      <c r="BH155" s="86"/>
      <c r="BI155" s="86"/>
      <c r="BJ155" s="82"/>
      <c r="BK155" s="81"/>
    </row>
    <row r="156" spans="2:63">
      <c r="B156" s="75"/>
      <c r="C156" s="32"/>
      <c r="D156" s="75"/>
      <c r="E156" s="82" t="s">
        <v>65</v>
      </c>
      <c r="F156" s="15" t="s">
        <v>66</v>
      </c>
      <c r="G156" s="86"/>
      <c r="H156" s="86"/>
      <c r="I156" s="86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1"/>
      <c r="BC156" s="81"/>
      <c r="BD156" s="81"/>
      <c r="BE156" s="75"/>
      <c r="BF156" s="82" t="s">
        <v>65</v>
      </c>
      <c r="BG156" s="118"/>
      <c r="BH156" s="83"/>
      <c r="BI156" s="83"/>
      <c r="BJ156" s="31"/>
      <c r="BK156" s="34"/>
    </row>
    <row r="157" spans="2:63">
      <c r="B157" s="75"/>
      <c r="C157" s="32"/>
      <c r="D157" s="75"/>
      <c r="E157" s="82" t="s">
        <v>67</v>
      </c>
      <c r="F157" s="85" t="s">
        <v>56</v>
      </c>
      <c r="G157" s="86">
        <f>+G137*G141</f>
        <v>847.14723000000026</v>
      </c>
      <c r="H157" s="86">
        <f>+H137*H141</f>
        <v>795.81067200000018</v>
      </c>
      <c r="I157" s="86">
        <f>+I137*I141</f>
        <v>777.5702100000002</v>
      </c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1"/>
      <c r="BC157" s="81"/>
      <c r="BD157" s="81"/>
      <c r="BE157" s="75"/>
      <c r="BF157" s="82" t="s">
        <v>67</v>
      </c>
      <c r="BG157" s="119">
        <f>G157-G108</f>
        <v>3.0814200000236269E-2</v>
      </c>
      <c r="BH157" s="86">
        <f>H157-H108</f>
        <v>-3.1414982399996916</v>
      </c>
      <c r="BI157" s="86">
        <f>I157-I108</f>
        <v>-4.6183814999998276</v>
      </c>
      <c r="BJ157" s="82">
        <f>J157-J108</f>
        <v>0</v>
      </c>
      <c r="BK157" s="81">
        <f t="shared" ref="BK157:BK158" si="45">BB157-BB108</f>
        <v>0</v>
      </c>
    </row>
    <row r="158" spans="2:63">
      <c r="B158" s="75"/>
      <c r="C158" s="32"/>
      <c r="D158" s="87" t="s">
        <v>68</v>
      </c>
      <c r="E158" s="88"/>
      <c r="F158" s="89"/>
      <c r="G158" s="90">
        <f>+G148+G151+G154+G157</f>
        <v>32004.480936086209</v>
      </c>
      <c r="H158" s="90">
        <f>+H148+H151+H154+H157</f>
        <v>40022.992747132281</v>
      </c>
      <c r="I158" s="90">
        <f>+I148+I151+I154+I157</f>
        <v>42648.6879414168</v>
      </c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91"/>
      <c r="BC158" s="81"/>
      <c r="BD158" s="81"/>
      <c r="BE158" s="87" t="s">
        <v>68</v>
      </c>
      <c r="BF158" s="88"/>
      <c r="BG158" s="120">
        <f>G158-G109</f>
        <v>213.05263544141053</v>
      </c>
      <c r="BH158" s="121">
        <f>H158-H109</f>
        <v>313.16892528388416</v>
      </c>
      <c r="BI158" s="121">
        <f>I158-I109</f>
        <v>350.78458806480194</v>
      </c>
      <c r="BJ158" s="122">
        <f>J158-J109</f>
        <v>0</v>
      </c>
      <c r="BK158" s="123">
        <f t="shared" si="45"/>
        <v>0</v>
      </c>
    </row>
    <row r="159" spans="2:63">
      <c r="B159" s="14"/>
      <c r="C159" s="35"/>
      <c r="D159" s="66" t="s">
        <v>69</v>
      </c>
      <c r="E159" s="28"/>
      <c r="F159" s="11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30"/>
      <c r="BC159" s="34"/>
      <c r="BD159" s="34"/>
      <c r="BE159" s="66" t="s">
        <v>69</v>
      </c>
      <c r="BF159" s="28"/>
      <c r="BG159" s="10"/>
      <c r="BH159" s="28"/>
      <c r="BI159" s="28"/>
      <c r="BJ159" s="28"/>
      <c r="BK159" s="30"/>
    </row>
    <row r="160" spans="2:63">
      <c r="B160" s="75"/>
      <c r="C160" s="32"/>
      <c r="D160" s="76"/>
      <c r="E160" s="77" t="s">
        <v>70</v>
      </c>
      <c r="F160" s="78" t="s">
        <v>56</v>
      </c>
      <c r="G160" s="79">
        <v>0</v>
      </c>
      <c r="H160" s="79">
        <v>0</v>
      </c>
      <c r="I160" s="79">
        <v>0</v>
      </c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80"/>
      <c r="BC160" s="81"/>
      <c r="BD160" s="81"/>
      <c r="BE160" s="76"/>
      <c r="BF160" s="77" t="s">
        <v>70</v>
      </c>
      <c r="BG160" s="117">
        <f>G160-G111</f>
        <v>0</v>
      </c>
      <c r="BH160" s="79">
        <f>H160-H111</f>
        <v>0</v>
      </c>
      <c r="BI160" s="79">
        <f>I160-I111</f>
        <v>0</v>
      </c>
      <c r="BJ160" s="77">
        <f>J160-J111</f>
        <v>0</v>
      </c>
      <c r="BK160" s="80">
        <f>BB160-BB111</f>
        <v>0</v>
      </c>
    </row>
    <row r="161" spans="2:63">
      <c r="B161" s="14"/>
      <c r="C161" s="35"/>
      <c r="D161" s="84" t="s">
        <v>71</v>
      </c>
      <c r="E161" s="31"/>
      <c r="F161" s="15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4"/>
      <c r="BC161" s="34"/>
      <c r="BD161" s="34"/>
      <c r="BE161" s="84" t="s">
        <v>71</v>
      </c>
      <c r="BF161" s="31"/>
      <c r="BG161" s="14"/>
      <c r="BH161" s="31"/>
      <c r="BI161" s="31"/>
      <c r="BJ161" s="31"/>
      <c r="BK161" s="34"/>
    </row>
    <row r="162" spans="2:63">
      <c r="B162" s="75"/>
      <c r="C162" s="32"/>
      <c r="D162" s="75"/>
      <c r="E162" s="82" t="s">
        <v>72</v>
      </c>
      <c r="F162" s="78" t="s">
        <v>56</v>
      </c>
      <c r="G162" s="86">
        <v>0</v>
      </c>
      <c r="H162" s="86">
        <v>0</v>
      </c>
      <c r="I162" s="86">
        <v>0</v>
      </c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1"/>
      <c r="BC162" s="81"/>
      <c r="BD162" s="81"/>
      <c r="BE162" s="75"/>
      <c r="BF162" s="82" t="s">
        <v>72</v>
      </c>
      <c r="BG162" s="119">
        <f>G162-G113</f>
        <v>0</v>
      </c>
      <c r="BH162" s="86">
        <f>H162-H113</f>
        <v>0</v>
      </c>
      <c r="BI162" s="86">
        <f>I162-I113</f>
        <v>0</v>
      </c>
      <c r="BJ162" s="82">
        <f>J162-J113</f>
        <v>0</v>
      </c>
      <c r="BK162" s="81">
        <f t="shared" ref="BK162:BK164" si="46">BB162-BB113</f>
        <v>0</v>
      </c>
    </row>
    <row r="163" spans="2:63">
      <c r="B163" s="75"/>
      <c r="C163" s="32"/>
      <c r="D163" s="87" t="s">
        <v>73</v>
      </c>
      <c r="E163" s="88"/>
      <c r="F163" s="89"/>
      <c r="G163" s="90">
        <f>+G162+G160</f>
        <v>0</v>
      </c>
      <c r="H163" s="90">
        <f>+H162+H160</f>
        <v>0</v>
      </c>
      <c r="I163" s="90">
        <f>+I162+I160</f>
        <v>0</v>
      </c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91"/>
      <c r="BC163" s="81"/>
      <c r="BD163" s="81"/>
      <c r="BE163" s="87" t="s">
        <v>73</v>
      </c>
      <c r="BF163" s="88"/>
      <c r="BG163" s="124">
        <f>G163-G114</f>
        <v>0</v>
      </c>
      <c r="BH163" s="90">
        <f>H163-H114</f>
        <v>0</v>
      </c>
      <c r="BI163" s="90">
        <f>I163-I114</f>
        <v>0</v>
      </c>
      <c r="BJ163" s="88">
        <f>J163-J114</f>
        <v>0</v>
      </c>
      <c r="BK163" s="91">
        <f t="shared" si="46"/>
        <v>0</v>
      </c>
    </row>
    <row r="164" spans="2:63">
      <c r="B164" s="14"/>
      <c r="C164" s="35"/>
      <c r="D164" s="87" t="s">
        <v>74</v>
      </c>
      <c r="E164" s="88"/>
      <c r="F164" s="89"/>
      <c r="G164" s="90">
        <f>+G162+G160+G154+G151+G148</f>
        <v>31157.33370608621</v>
      </c>
      <c r="H164" s="90">
        <f>+H162+H160+H154+H151+H148</f>
        <v>39227.182075132281</v>
      </c>
      <c r="I164" s="90">
        <f>+I162+I160+I154+I151+I148</f>
        <v>41871.117731416802</v>
      </c>
      <c r="J164" s="90">
        <f>+J162+J160+J154+J151+J148</f>
        <v>0</v>
      </c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2">
        <f>+BB162+BB160+BB154+BB151+BB148</f>
        <v>0</v>
      </c>
      <c r="BC164" s="34"/>
      <c r="BD164" s="34"/>
      <c r="BE164" s="87" t="s">
        <v>74</v>
      </c>
      <c r="BF164" s="88"/>
      <c r="BG164" s="124">
        <f>G164-G115</f>
        <v>213.02182124141109</v>
      </c>
      <c r="BH164" s="90">
        <f>H164-H115</f>
        <v>316.31042352387885</v>
      </c>
      <c r="BI164" s="90">
        <f>I164-I115</f>
        <v>355.40296956480597</v>
      </c>
      <c r="BJ164" s="90">
        <f>J164-J115</f>
        <v>0</v>
      </c>
      <c r="BK164" s="92">
        <f t="shared" si="46"/>
        <v>0</v>
      </c>
    </row>
    <row r="165" spans="2:63">
      <c r="B165" s="19"/>
      <c r="C165" s="93"/>
      <c r="D165" s="22"/>
      <c r="E165" s="22"/>
      <c r="F165" s="94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3"/>
      <c r="BD165" s="31"/>
    </row>
    <row r="169" spans="2:63">
      <c r="F169" s="7" t="s">
        <v>94</v>
      </c>
      <c r="G169" s="8">
        <v>2010</v>
      </c>
      <c r="H169" s="8">
        <v>2011</v>
      </c>
      <c r="I169" s="8">
        <v>2012</v>
      </c>
      <c r="J169" s="8">
        <v>2013</v>
      </c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9">
        <v>2014</v>
      </c>
    </row>
    <row r="170" spans="2:63" s="74" customFormat="1" ht="12.75">
      <c r="C170" s="6"/>
      <c r="D170" s="136" t="s">
        <v>95</v>
      </c>
      <c r="E170" s="137"/>
      <c r="F170" s="138">
        <f>SUM(G170:BB170)</f>
        <v>3.236303075998876</v>
      </c>
      <c r="G170" s="139">
        <f>SUM(G171:G174)</f>
        <v>0.92511076000300818</v>
      </c>
      <c r="H170" s="139">
        <f>SUM(H171:H174)</f>
        <v>0.81291641599091236</v>
      </c>
      <c r="I170" s="139">
        <f>SUM(I171:I174)</f>
        <v>1.4982759000049555</v>
      </c>
      <c r="J170" s="139">
        <f>SUM(J171:J174)</f>
        <v>0</v>
      </c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40">
        <f>SUM(BB171:BB174)</f>
        <v>0</v>
      </c>
    </row>
    <row r="171" spans="2:63">
      <c r="D171" s="14"/>
      <c r="E171" s="31" t="s">
        <v>96</v>
      </c>
      <c r="F171" s="141">
        <f t="shared" ref="F171:F189" si="47">SUM(G171:BB171)</f>
        <v>122691.58591432445</v>
      </c>
      <c r="G171" s="142">
        <f>+G49</f>
        <v>26072.309918859592</v>
      </c>
      <c r="H171" s="142">
        <f>+H49</f>
        <v>33410.784396863928</v>
      </c>
      <c r="I171" s="142">
        <f>+I49</f>
        <v>35610.541844528743</v>
      </c>
      <c r="J171" s="142">
        <f>+J49</f>
        <v>27597.949754072182</v>
      </c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2"/>
      <c r="AJ171" s="142"/>
      <c r="AK171" s="142"/>
      <c r="AL171" s="142"/>
      <c r="AM171" s="142"/>
      <c r="AN171" s="142"/>
      <c r="AO171" s="142"/>
      <c r="AP171" s="142"/>
      <c r="AQ171" s="142"/>
      <c r="AR171" s="142"/>
      <c r="AS171" s="142"/>
      <c r="AT171" s="142"/>
      <c r="AU171" s="142"/>
      <c r="AV171" s="142"/>
      <c r="AW171" s="142"/>
      <c r="AX171" s="142"/>
      <c r="AY171" s="142"/>
      <c r="AZ171" s="142"/>
      <c r="BA171" s="142"/>
      <c r="BB171" s="143">
        <f>+BB49</f>
        <v>0</v>
      </c>
    </row>
    <row r="172" spans="2:63">
      <c r="D172" s="68"/>
      <c r="E172" s="31" t="s">
        <v>97</v>
      </c>
      <c r="F172" s="141">
        <f t="shared" si="47"/>
        <v>-95092.600241523993</v>
      </c>
      <c r="G172" s="142">
        <f>-G99</f>
        <v>-26072.027283240001</v>
      </c>
      <c r="H172" s="142">
        <f>-H99</f>
        <v>-33410.419965184003</v>
      </c>
      <c r="I172" s="142">
        <f>-I99</f>
        <v>-35610.152993099997</v>
      </c>
      <c r="J172" s="142">
        <f>-J99</f>
        <v>0</v>
      </c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2"/>
      <c r="AR172" s="142"/>
      <c r="AS172" s="142"/>
      <c r="AT172" s="142"/>
      <c r="AU172" s="142"/>
      <c r="AV172" s="142"/>
      <c r="AW172" s="142"/>
      <c r="AX172" s="142"/>
      <c r="AY172" s="142"/>
      <c r="AZ172" s="142"/>
      <c r="BA172" s="142"/>
      <c r="BB172" s="143">
        <f>-BB99</f>
        <v>0</v>
      </c>
    </row>
    <row r="173" spans="2:63">
      <c r="D173" s="68"/>
      <c r="E173" s="31" t="s">
        <v>98</v>
      </c>
      <c r="F173" s="141">
        <f t="shared" si="47"/>
        <v>95095.836544599995</v>
      </c>
      <c r="G173" s="142">
        <f>+G148</f>
        <v>26072.952394000004</v>
      </c>
      <c r="H173" s="142">
        <f>+H148</f>
        <v>33411.232881599994</v>
      </c>
      <c r="I173" s="142">
        <f>+I148</f>
        <v>35611.651269000002</v>
      </c>
      <c r="J173" s="142">
        <f>+J148</f>
        <v>0</v>
      </c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  <c r="AQ173" s="142"/>
      <c r="AR173" s="142"/>
      <c r="AS173" s="142"/>
      <c r="AT173" s="142"/>
      <c r="AU173" s="142"/>
      <c r="AV173" s="142"/>
      <c r="AW173" s="142"/>
      <c r="AX173" s="142"/>
      <c r="AY173" s="142"/>
      <c r="AZ173" s="142"/>
      <c r="BA173" s="142"/>
      <c r="BB173" s="143">
        <f>+BB148</f>
        <v>0</v>
      </c>
    </row>
    <row r="174" spans="2:63">
      <c r="D174" s="144"/>
      <c r="E174" s="145" t="s">
        <v>99</v>
      </c>
      <c r="F174" s="146">
        <f t="shared" si="47"/>
        <v>-122691.58591432445</v>
      </c>
      <c r="G174" s="147">
        <f>-G171</f>
        <v>-26072.309918859592</v>
      </c>
      <c r="H174" s="147">
        <f>-H171</f>
        <v>-33410.784396863928</v>
      </c>
      <c r="I174" s="147">
        <f>-I171</f>
        <v>-35610.541844528743</v>
      </c>
      <c r="J174" s="147">
        <f>-J171</f>
        <v>-27597.949754072182</v>
      </c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8">
        <f>-BB171</f>
        <v>0</v>
      </c>
    </row>
    <row r="175" spans="2:63" s="74" customFormat="1" ht="12.75">
      <c r="C175" s="6"/>
      <c r="D175" s="136" t="s">
        <v>100</v>
      </c>
      <c r="E175" s="137"/>
      <c r="F175" s="138">
        <f t="shared" si="47"/>
        <v>577.42937449409544</v>
      </c>
      <c r="G175" s="139">
        <f>SUM(G176:G179)</f>
        <v>96.132334181408055</v>
      </c>
      <c r="H175" s="139">
        <f>SUM(H176:H179)</f>
        <v>219.30719414788746</v>
      </c>
      <c r="I175" s="139">
        <f>SUM(I176:I179)</f>
        <v>261.98984616479993</v>
      </c>
      <c r="J175" s="139">
        <f>SUM(J176:J179)</f>
        <v>0</v>
      </c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40">
        <f>SUM(BB176:BB179)</f>
        <v>0</v>
      </c>
    </row>
    <row r="176" spans="2:63">
      <c r="D176" s="84"/>
      <c r="E176" s="31" t="s">
        <v>96</v>
      </c>
      <c r="F176" s="141">
        <f t="shared" si="47"/>
        <v>4704.7234505832002</v>
      </c>
      <c r="G176" s="142">
        <f>+G52</f>
        <v>548.57004259680002</v>
      </c>
      <c r="H176" s="142">
        <f>+H52</f>
        <v>1271.5352176824001</v>
      </c>
      <c r="I176" s="142">
        <f>+I52</f>
        <v>1469.6485683120002</v>
      </c>
      <c r="J176" s="142">
        <f>+J52</f>
        <v>1414.9696219920002</v>
      </c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2"/>
      <c r="AT176" s="142"/>
      <c r="AU176" s="142"/>
      <c r="AV176" s="142"/>
      <c r="AW176" s="142"/>
      <c r="AX176" s="142"/>
      <c r="AY176" s="142"/>
      <c r="AZ176" s="142"/>
      <c r="BA176" s="142"/>
      <c r="BB176" s="143">
        <f>+BB52</f>
        <v>0</v>
      </c>
    </row>
    <row r="177" spans="3:54">
      <c r="D177" s="84"/>
      <c r="E177" s="31" t="s">
        <v>97</v>
      </c>
      <c r="F177" s="141">
        <f t="shared" si="47"/>
        <v>-3289.7610935411999</v>
      </c>
      <c r="G177" s="142">
        <f>-G102</f>
        <v>-548.57147790479996</v>
      </c>
      <c r="H177" s="142">
        <f>-H102</f>
        <v>-1271.5379993843999</v>
      </c>
      <c r="I177" s="142">
        <f>-I102</f>
        <v>-1469.6516162520002</v>
      </c>
      <c r="J177" s="142">
        <f>-J102</f>
        <v>0</v>
      </c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2"/>
      <c r="AJ177" s="142"/>
      <c r="AK177" s="142"/>
      <c r="AL177" s="142"/>
      <c r="AM177" s="142"/>
      <c r="AN177" s="142"/>
      <c r="AO177" s="142"/>
      <c r="AP177" s="142"/>
      <c r="AQ177" s="142"/>
      <c r="AR177" s="142"/>
      <c r="AS177" s="142"/>
      <c r="AT177" s="142"/>
      <c r="AU177" s="142"/>
      <c r="AV177" s="142"/>
      <c r="AW177" s="142"/>
      <c r="AX177" s="142"/>
      <c r="AY177" s="142"/>
      <c r="AZ177" s="142"/>
      <c r="BA177" s="142"/>
      <c r="BB177" s="143">
        <f>-BB102</f>
        <v>0</v>
      </c>
    </row>
    <row r="178" spans="3:54">
      <c r="D178" s="84"/>
      <c r="E178" s="31" t="s">
        <v>98</v>
      </c>
      <c r="F178" s="141">
        <f t="shared" si="47"/>
        <v>3867.1904680352955</v>
      </c>
      <c r="G178" s="142">
        <f>+G151</f>
        <v>644.70381208620802</v>
      </c>
      <c r="H178" s="142">
        <f>+H151</f>
        <v>1490.8451935322873</v>
      </c>
      <c r="I178" s="142">
        <f>+I151</f>
        <v>1731.6414624168001</v>
      </c>
      <c r="J178" s="142">
        <f>+J151</f>
        <v>0</v>
      </c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2"/>
      <c r="AJ178" s="142"/>
      <c r="AK178" s="142"/>
      <c r="AL178" s="142"/>
      <c r="AM178" s="142"/>
      <c r="AN178" s="142"/>
      <c r="AO178" s="142"/>
      <c r="AP178" s="142"/>
      <c r="AQ178" s="142"/>
      <c r="AR178" s="142"/>
      <c r="AS178" s="142"/>
      <c r="AT178" s="142"/>
      <c r="AU178" s="142"/>
      <c r="AV178" s="142"/>
      <c r="AW178" s="142"/>
      <c r="AX178" s="142"/>
      <c r="AY178" s="142"/>
      <c r="AZ178" s="142"/>
      <c r="BA178" s="142"/>
      <c r="BB178" s="143">
        <f>+BB151</f>
        <v>0</v>
      </c>
    </row>
    <row r="179" spans="3:54">
      <c r="D179" s="19"/>
      <c r="E179" s="145" t="s">
        <v>101</v>
      </c>
      <c r="F179" s="146">
        <f t="shared" si="47"/>
        <v>-4704.7234505832002</v>
      </c>
      <c r="G179" s="147">
        <f>-G176</f>
        <v>-548.57004259680002</v>
      </c>
      <c r="H179" s="147">
        <f>-H176</f>
        <v>-1271.5352176824001</v>
      </c>
      <c r="I179" s="147">
        <f>-I176</f>
        <v>-1469.6485683120002</v>
      </c>
      <c r="J179" s="147">
        <f>-J176</f>
        <v>-1414.9696219920002</v>
      </c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8">
        <f>-BB176</f>
        <v>0</v>
      </c>
    </row>
    <row r="180" spans="3:54" s="74" customFormat="1" ht="12.75">
      <c r="C180" s="6"/>
      <c r="D180" s="136" t="s">
        <v>102</v>
      </c>
      <c r="E180" s="137"/>
      <c r="F180" s="138">
        <f>SUM(G180:BB180)</f>
        <v>304.06953676000012</v>
      </c>
      <c r="G180" s="139">
        <f>SUM(G181:G184)</f>
        <v>115.96437629999946</v>
      </c>
      <c r="H180" s="139">
        <f>SUM(H181:H184)</f>
        <v>96.190312959999574</v>
      </c>
      <c r="I180" s="139">
        <f>SUM(I181:I184)</f>
        <v>91.914847500001088</v>
      </c>
      <c r="J180" s="139">
        <f>SUM(J181:J184)</f>
        <v>0</v>
      </c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40">
        <f>SUM(BB181:BB184)</f>
        <v>0</v>
      </c>
    </row>
    <row r="181" spans="3:54" hidden="1">
      <c r="D181" s="14"/>
      <c r="E181" s="31" t="s">
        <v>96</v>
      </c>
      <c r="F181" s="141">
        <f>SUM(G181:BB181)</f>
        <v>16424.804643240001</v>
      </c>
      <c r="G181" s="142">
        <f>+G55</f>
        <v>4323.7131237000003</v>
      </c>
      <c r="H181" s="142">
        <f>+H55</f>
        <v>4228.9136870399998</v>
      </c>
      <c r="I181" s="142">
        <f>+I55</f>
        <v>4435.9101524999996</v>
      </c>
      <c r="J181" s="142">
        <f>+J55</f>
        <v>3436.2676799999995</v>
      </c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3">
        <f>+BB55</f>
        <v>0</v>
      </c>
    </row>
    <row r="182" spans="3:54" hidden="1">
      <c r="D182" s="14"/>
      <c r="E182" s="31" t="s">
        <v>97</v>
      </c>
      <c r="F182" s="141">
        <f>SUM(G182:BB182)</f>
        <v>-12988.53696324</v>
      </c>
      <c r="G182" s="142">
        <f>-G105</f>
        <v>-4323.7131237000003</v>
      </c>
      <c r="H182" s="142">
        <f>-H105</f>
        <v>-4228.9136870399998</v>
      </c>
      <c r="I182" s="142">
        <f>-I105</f>
        <v>-4435.9101524999996</v>
      </c>
      <c r="J182" s="142">
        <f>-J105</f>
        <v>0</v>
      </c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  <c r="AJ182" s="142"/>
      <c r="AK182" s="142"/>
      <c r="AL182" s="142"/>
      <c r="AM182" s="142"/>
      <c r="AN182" s="142"/>
      <c r="AO182" s="142"/>
      <c r="AP182" s="142"/>
      <c r="AQ182" s="142"/>
      <c r="AR182" s="142"/>
      <c r="AS182" s="142"/>
      <c r="AT182" s="142"/>
      <c r="AU182" s="142"/>
      <c r="AV182" s="142"/>
      <c r="AW182" s="142"/>
      <c r="AX182" s="142"/>
      <c r="AY182" s="142"/>
      <c r="AZ182" s="142"/>
      <c r="BA182" s="142"/>
      <c r="BB182" s="143">
        <f>-BB105</f>
        <v>0</v>
      </c>
    </row>
    <row r="183" spans="3:54" hidden="1">
      <c r="D183" s="14"/>
      <c r="E183" s="31" t="s">
        <v>98</v>
      </c>
      <c r="F183" s="141">
        <f>SUM(G183:BB183)</f>
        <v>13292.6065</v>
      </c>
      <c r="G183" s="142">
        <f>+G154</f>
        <v>4439.6774999999998</v>
      </c>
      <c r="H183" s="142">
        <f>+H154</f>
        <v>4325.1039999999994</v>
      </c>
      <c r="I183" s="142">
        <f>+I154</f>
        <v>4527.8250000000007</v>
      </c>
      <c r="J183" s="142">
        <f>+J154</f>
        <v>0</v>
      </c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  <c r="AQ183" s="142"/>
      <c r="AR183" s="142"/>
      <c r="AS183" s="142"/>
      <c r="AT183" s="142"/>
      <c r="AU183" s="142"/>
      <c r="AV183" s="142"/>
      <c r="AW183" s="142"/>
      <c r="AX183" s="142"/>
      <c r="AY183" s="142"/>
      <c r="AZ183" s="142"/>
      <c r="BA183" s="142"/>
      <c r="BB183" s="143">
        <f>+BB154</f>
        <v>0</v>
      </c>
    </row>
    <row r="184" spans="3:54" hidden="1">
      <c r="D184" s="19"/>
      <c r="E184" s="145" t="s">
        <v>101</v>
      </c>
      <c r="F184" s="146">
        <f>SUM(G184:BB184)</f>
        <v>-16424.804643240001</v>
      </c>
      <c r="G184" s="147">
        <f>-G181</f>
        <v>-4323.7131237000003</v>
      </c>
      <c r="H184" s="147">
        <f>-H181</f>
        <v>-4228.9136870399998</v>
      </c>
      <c r="I184" s="147">
        <f>-I181</f>
        <v>-4435.9101524999996</v>
      </c>
      <c r="J184" s="147">
        <f>-J181</f>
        <v>-3436.2676799999995</v>
      </c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8">
        <f>-BB181</f>
        <v>0</v>
      </c>
    </row>
    <row r="185" spans="3:54" s="74" customFormat="1" ht="12.75">
      <c r="C185" s="6"/>
      <c r="D185" s="136" t="s">
        <v>64</v>
      </c>
      <c r="E185" s="137"/>
      <c r="F185" s="138">
        <f t="shared" si="47"/>
        <v>2067.2369718333439</v>
      </c>
      <c r="G185" s="139">
        <f>SUM(G186:G189)</f>
        <v>511.43563488049494</v>
      </c>
      <c r="H185" s="139">
        <f>SUM(H186:H189)</f>
        <v>480.44301121934535</v>
      </c>
      <c r="I185" s="139">
        <f>SUM(I186:I189)</f>
        <v>469.43098398822349</v>
      </c>
      <c r="J185" s="139">
        <f>SUM(J186:J189)</f>
        <v>605.92734174527993</v>
      </c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40">
        <f>SUM(BB186:BB189)</f>
        <v>0</v>
      </c>
    </row>
    <row r="186" spans="3:54">
      <c r="D186" s="14"/>
      <c r="E186" s="31" t="s">
        <v>96</v>
      </c>
      <c r="F186" s="141">
        <f t="shared" si="47"/>
        <v>3034.2115051066762</v>
      </c>
      <c r="G186" s="142">
        <f>+G58</f>
        <v>847.12583001382802</v>
      </c>
      <c r="H186" s="142">
        <f>+H58</f>
        <v>798.96104919267839</v>
      </c>
      <c r="I186" s="142">
        <f>+I58</f>
        <v>782.19728415488999</v>
      </c>
      <c r="J186" s="142">
        <f>+J58</f>
        <v>605.92734174527993</v>
      </c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2"/>
      <c r="AJ186" s="142"/>
      <c r="AK186" s="142"/>
      <c r="AL186" s="142"/>
      <c r="AM186" s="142"/>
      <c r="AN186" s="142"/>
      <c r="AO186" s="142"/>
      <c r="AP186" s="142"/>
      <c r="AQ186" s="142"/>
      <c r="AR186" s="142"/>
      <c r="AS186" s="142"/>
      <c r="AT186" s="142"/>
      <c r="AU186" s="142"/>
      <c r="AV186" s="142"/>
      <c r="AW186" s="142"/>
      <c r="AX186" s="142"/>
      <c r="AY186" s="142"/>
      <c r="AZ186" s="142"/>
      <c r="BA186" s="142"/>
      <c r="BB186" s="143">
        <f>+BB58</f>
        <v>0</v>
      </c>
    </row>
    <row r="187" spans="3:54">
      <c r="D187" s="14"/>
      <c r="E187" s="31" t="s">
        <v>97</v>
      </c>
      <c r="F187" s="141">
        <f t="shared" si="47"/>
        <v>-2428.2571775400002</v>
      </c>
      <c r="G187" s="142">
        <f>-G108</f>
        <v>-847.11641580000003</v>
      </c>
      <c r="H187" s="142">
        <f>-H108</f>
        <v>-798.95217023999987</v>
      </c>
      <c r="I187" s="142">
        <f>-I108</f>
        <v>-782.18859150000003</v>
      </c>
      <c r="J187" s="142">
        <f>-J108</f>
        <v>0</v>
      </c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2"/>
      <c r="AJ187" s="142"/>
      <c r="AK187" s="142"/>
      <c r="AL187" s="142"/>
      <c r="AM187" s="142"/>
      <c r="AN187" s="142"/>
      <c r="AO187" s="142"/>
      <c r="AP187" s="142"/>
      <c r="AQ187" s="142"/>
      <c r="AR187" s="142"/>
      <c r="AS187" s="142"/>
      <c r="AT187" s="142"/>
      <c r="AU187" s="142"/>
      <c r="AV187" s="142"/>
      <c r="AW187" s="142"/>
      <c r="AX187" s="142"/>
      <c r="AY187" s="142"/>
      <c r="AZ187" s="142"/>
      <c r="BA187" s="142"/>
      <c r="BB187" s="143">
        <f>-BB108</f>
        <v>0</v>
      </c>
    </row>
    <row r="188" spans="3:54">
      <c r="D188" s="14"/>
      <c r="E188" s="31" t="s">
        <v>98</v>
      </c>
      <c r="F188" s="141">
        <f t="shared" si="47"/>
        <v>2420.5281120000009</v>
      </c>
      <c r="G188" s="142">
        <f>+G157</f>
        <v>847.14723000000026</v>
      </c>
      <c r="H188" s="142">
        <f>+H157</f>
        <v>795.81067200000018</v>
      </c>
      <c r="I188" s="142">
        <f>+I157</f>
        <v>777.5702100000002</v>
      </c>
      <c r="J188" s="142">
        <f>+J157</f>
        <v>0</v>
      </c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2"/>
      <c r="AJ188" s="142"/>
      <c r="AK188" s="142"/>
      <c r="AL188" s="142"/>
      <c r="AM188" s="142"/>
      <c r="AN188" s="142"/>
      <c r="AO188" s="142"/>
      <c r="AP188" s="142"/>
      <c r="AQ188" s="142"/>
      <c r="AR188" s="142"/>
      <c r="AS188" s="142"/>
      <c r="AT188" s="142"/>
      <c r="AU188" s="142"/>
      <c r="AV188" s="142"/>
      <c r="AW188" s="142"/>
      <c r="AX188" s="142"/>
      <c r="AY188" s="142"/>
      <c r="AZ188" s="142"/>
      <c r="BA188" s="142"/>
      <c r="BB188" s="143">
        <f>+BB157</f>
        <v>0</v>
      </c>
    </row>
    <row r="189" spans="3:54">
      <c r="D189" s="19"/>
      <c r="E189" s="145" t="s">
        <v>103</v>
      </c>
      <c r="F189" s="146">
        <f t="shared" si="47"/>
        <v>-959.24546773333338</v>
      </c>
      <c r="G189" s="147">
        <f>-G199</f>
        <v>-335.72100933333331</v>
      </c>
      <c r="H189" s="147">
        <f>-H199</f>
        <v>-315.37653973333335</v>
      </c>
      <c r="I189" s="147">
        <f>-I199</f>
        <v>-308.14791866666667</v>
      </c>
      <c r="J189" s="147">
        <f>-J199</f>
        <v>0</v>
      </c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>
        <f>-BB199</f>
        <v>0</v>
      </c>
    </row>
    <row r="190" spans="3:54">
      <c r="D190" s="76" t="s">
        <v>104</v>
      </c>
      <c r="E190" s="77"/>
      <c r="F190" s="149">
        <f t="shared" ref="F190:BB190" si="48">+F185+F175+F170</f>
        <v>2647.9026494034383</v>
      </c>
      <c r="G190" s="150">
        <f t="shared" si="48"/>
        <v>608.49307982190601</v>
      </c>
      <c r="H190" s="150">
        <f t="shared" si="48"/>
        <v>700.56312178322378</v>
      </c>
      <c r="I190" s="150">
        <f t="shared" si="48"/>
        <v>732.91910605302837</v>
      </c>
      <c r="J190" s="150">
        <f t="shared" si="48"/>
        <v>605.92734174527993</v>
      </c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1">
        <f t="shared" si="48"/>
        <v>0</v>
      </c>
    </row>
    <row r="191" spans="3:54">
      <c r="D191" s="152" t="s">
        <v>105</v>
      </c>
    </row>
    <row r="192" spans="3:54">
      <c r="D192" t="s">
        <v>106</v>
      </c>
    </row>
    <row r="196" spans="4:54">
      <c r="G196" s="95">
        <v>2010</v>
      </c>
      <c r="H196" s="8">
        <v>2011</v>
      </c>
      <c r="I196" s="8">
        <v>2012</v>
      </c>
      <c r="J196" s="8">
        <v>2013</v>
      </c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9">
        <v>2014</v>
      </c>
    </row>
    <row r="197" spans="4:54">
      <c r="D197" s="66" t="s">
        <v>107</v>
      </c>
      <c r="E197" s="137"/>
      <c r="F197" s="153"/>
      <c r="G197" s="139"/>
      <c r="H197" s="139"/>
      <c r="I197" s="139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54"/>
    </row>
    <row r="198" spans="4:54">
      <c r="D198" s="75"/>
      <c r="E198" s="82" t="s">
        <v>65</v>
      </c>
      <c r="F198" s="15" t="s">
        <v>66</v>
      </c>
      <c r="G198" s="86">
        <f>++G23*G42*(1-G25)</f>
        <v>1678.6050466666666</v>
      </c>
      <c r="H198" s="86">
        <f>++H23*H42*(1-H25)</f>
        <v>1576.8826986666666</v>
      </c>
      <c r="I198" s="86">
        <f>++I23*I42*(1-I25)</f>
        <v>1540.7395933333332</v>
      </c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1"/>
    </row>
    <row r="199" spans="4:54">
      <c r="D199" s="76"/>
      <c r="E199" s="77" t="s">
        <v>67</v>
      </c>
      <c r="F199" s="78" t="s">
        <v>56</v>
      </c>
      <c r="G199" s="79">
        <f>+G198*G16</f>
        <v>335.72100933333331</v>
      </c>
      <c r="H199" s="79">
        <f>+H198*H16</f>
        <v>315.37653973333335</v>
      </c>
      <c r="I199" s="79">
        <f>+I198*I16</f>
        <v>308.14791866666667</v>
      </c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80"/>
    </row>
    <row r="213" spans="5:5">
      <c r="E213" s="86" t="e">
        <f>+E179*E193*E197</f>
        <v>#VALUE!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2011-05-03T11:44:18Z</dcterms:created>
  <dcterms:modified xsi:type="dcterms:W3CDTF">2011-05-03T12:35:29Z</dcterms:modified>
</cp:coreProperties>
</file>