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 activeTab="2"/>
  </bookViews>
  <sheets>
    <sheet name="Dif Contratos" sheetId="1" r:id="rId1"/>
    <sheet name="Margen" sheetId="2" r:id="rId2"/>
    <sheet name="Graphics" sheetId="3" r:id="rId3"/>
    <sheet name="Referen" sheetId="4" r:id="rId4"/>
  </sheets>
  <definedNames>
    <definedName name="_xlnm.Print_Area" localSheetId="0">'Dif Contratos'!$B$5:$U$144</definedName>
  </definedNames>
  <calcPr calcId="125725"/>
</workbook>
</file>

<file path=xl/calcChain.xml><?xml version="1.0" encoding="utf-8"?>
<calcChain xmlns="http://schemas.openxmlformats.org/spreadsheetml/2006/main">
  <c r="T4" i="3"/>
  <c r="H11" i="4"/>
  <c r="H10"/>
  <c r="H9"/>
  <c r="H8"/>
  <c r="H7"/>
  <c r="H6"/>
  <c r="H12" s="1"/>
  <c r="G6"/>
  <c r="V13" i="3"/>
  <c r="V11"/>
  <c r="V4"/>
  <c r="R13"/>
  <c r="R11"/>
  <c r="R4"/>
  <c r="A182" i="1"/>
  <c r="A181"/>
  <c r="A180"/>
  <c r="A179"/>
  <c r="A178"/>
  <c r="A177"/>
  <c r="A176"/>
  <c r="A175"/>
  <c r="A174"/>
  <c r="A173"/>
  <c r="A172"/>
  <c r="A171"/>
  <c r="A170"/>
  <c r="A194" s="1"/>
  <c r="A169"/>
  <c r="A193" s="1"/>
  <c r="A168"/>
  <c r="A167"/>
  <c r="A166"/>
  <c r="A165"/>
  <c r="A164"/>
  <c r="A163"/>
  <c r="A162"/>
  <c r="A186" s="1"/>
  <c r="A161"/>
  <c r="A185" s="1"/>
  <c r="A160"/>
  <c r="A159"/>
  <c r="A190"/>
  <c r="A188"/>
  <c r="A191"/>
  <c r="A189"/>
  <c r="AH7" i="4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K8" s="1"/>
  <c r="F12"/>
  <c r="J8"/>
  <c r="F11"/>
  <c r="J11" s="1"/>
  <c r="F5"/>
  <c r="E11"/>
  <c r="L4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K4"/>
  <c r="J9"/>
  <c r="L8" i="3"/>
  <c r="G225" i="1"/>
  <c r="R224"/>
  <c r="Q224"/>
  <c r="P224"/>
  <c r="O224"/>
  <c r="N224"/>
  <c r="M224"/>
  <c r="L224"/>
  <c r="K224"/>
  <c r="J224"/>
  <c r="I224"/>
  <c r="H224"/>
  <c r="G224"/>
  <c r="R221"/>
  <c r="Q221"/>
  <c r="P221"/>
  <c r="O221"/>
  <c r="N221"/>
  <c r="M221"/>
  <c r="L221"/>
  <c r="K221"/>
  <c r="J221"/>
  <c r="I221"/>
  <c r="H221"/>
  <c r="G221"/>
  <c r="Y37" i="2"/>
  <c r="X37"/>
  <c r="W37"/>
  <c r="V37"/>
  <c r="U37"/>
  <c r="T37"/>
  <c r="S37"/>
  <c r="R37"/>
  <c r="Q37"/>
  <c r="P37"/>
  <c r="O37"/>
  <c r="N37"/>
  <c r="M37"/>
  <c r="L37"/>
  <c r="K37"/>
  <c r="J37"/>
  <c r="J30"/>
  <c r="G174" i="1"/>
  <c r="H173"/>
  <c r="H174" s="1"/>
  <c r="C195"/>
  <c r="I5" i="3"/>
  <c r="I8" s="1"/>
  <c r="I10" s="1"/>
  <c r="I4" s="1"/>
  <c r="E16"/>
  <c r="R204" i="1"/>
  <c r="Q204"/>
  <c r="P204"/>
  <c r="O204"/>
  <c r="N204"/>
  <c r="M204"/>
  <c r="L204"/>
  <c r="K204"/>
  <c r="J204"/>
  <c r="I204"/>
  <c r="H204"/>
  <c r="G204"/>
  <c r="R214"/>
  <c r="Q214"/>
  <c r="P214"/>
  <c r="O214"/>
  <c r="N214"/>
  <c r="M214"/>
  <c r="L214"/>
  <c r="K214"/>
  <c r="J214"/>
  <c r="I214"/>
  <c r="H214"/>
  <c r="R213"/>
  <c r="Q213"/>
  <c r="P213"/>
  <c r="P210" s="1"/>
  <c r="O213"/>
  <c r="N213"/>
  <c r="M213"/>
  <c r="L213"/>
  <c r="L210" s="1"/>
  <c r="K213"/>
  <c r="J213"/>
  <c r="I213"/>
  <c r="H213"/>
  <c r="H210" s="1"/>
  <c r="R212"/>
  <c r="Q212"/>
  <c r="P212"/>
  <c r="O212"/>
  <c r="O210" s="1"/>
  <c r="N212"/>
  <c r="M212"/>
  <c r="L212"/>
  <c r="K212"/>
  <c r="K210" s="1"/>
  <c r="J212"/>
  <c r="I212"/>
  <c r="H212"/>
  <c r="R211"/>
  <c r="R210" s="1"/>
  <c r="Q211"/>
  <c r="P211"/>
  <c r="O211"/>
  <c r="N211"/>
  <c r="N210" s="1"/>
  <c r="M211"/>
  <c r="L211"/>
  <c r="K211"/>
  <c r="J211"/>
  <c r="J210" s="1"/>
  <c r="I211"/>
  <c r="H211"/>
  <c r="Q210"/>
  <c r="M210"/>
  <c r="I210"/>
  <c r="R209"/>
  <c r="Q209"/>
  <c r="P209"/>
  <c r="O209"/>
  <c r="N209"/>
  <c r="M209"/>
  <c r="L209"/>
  <c r="K209"/>
  <c r="J209"/>
  <c r="I209"/>
  <c r="H209"/>
  <c r="R208"/>
  <c r="Q208"/>
  <c r="P208"/>
  <c r="O208"/>
  <c r="N208"/>
  <c r="M208"/>
  <c r="L208"/>
  <c r="K208"/>
  <c r="J208"/>
  <c r="I208"/>
  <c r="H208"/>
  <c r="R207"/>
  <c r="Q207"/>
  <c r="P207"/>
  <c r="O207"/>
  <c r="N207"/>
  <c r="M207"/>
  <c r="L207"/>
  <c r="K207"/>
  <c r="J207"/>
  <c r="I207"/>
  <c r="H207"/>
  <c r="G206"/>
  <c r="G207"/>
  <c r="G208"/>
  <c r="G209"/>
  <c r="G205" s="1"/>
  <c r="G212"/>
  <c r="G213"/>
  <c r="G214"/>
  <c r="G210" s="1"/>
  <c r="G211"/>
  <c r="H8" i="3"/>
  <c r="G8"/>
  <c r="G10" s="1"/>
  <c r="G4" s="1"/>
  <c r="E8"/>
  <c r="E10" s="1"/>
  <c r="E4" s="1"/>
  <c r="F12"/>
  <c r="F11" s="1"/>
  <c r="E12"/>
  <c r="E11" s="1"/>
  <c r="H11"/>
  <c r="H5"/>
  <c r="D11"/>
  <c r="C182" i="1"/>
  <c r="C181"/>
  <c r="C180"/>
  <c r="C179"/>
  <c r="C178"/>
  <c r="C177"/>
  <c r="C176"/>
  <c r="C175"/>
  <c r="C170"/>
  <c r="C169"/>
  <c r="C168"/>
  <c r="C167"/>
  <c r="C166"/>
  <c r="C165"/>
  <c r="C162"/>
  <c r="J19" i="3"/>
  <c r="J18"/>
  <c r="E21"/>
  <c r="E47" i="2"/>
  <c r="C39"/>
  <c r="C41"/>
  <c r="C40"/>
  <c r="C44"/>
  <c r="E43"/>
  <c r="F43" s="1"/>
  <c r="R168" i="1"/>
  <c r="Q168"/>
  <c r="P168"/>
  <c r="O168"/>
  <c r="N168"/>
  <c r="M168"/>
  <c r="L168"/>
  <c r="K168"/>
  <c r="J168"/>
  <c r="I168"/>
  <c r="H168"/>
  <c r="G168"/>
  <c r="U158"/>
  <c r="T158"/>
  <c r="S158"/>
  <c r="R158"/>
  <c r="Q158"/>
  <c r="P158"/>
  <c r="O158"/>
  <c r="N158"/>
  <c r="M158"/>
  <c r="L158"/>
  <c r="K158"/>
  <c r="J158"/>
  <c r="I158"/>
  <c r="H158"/>
  <c r="G158"/>
  <c r="D34" i="2"/>
  <c r="D40" s="1"/>
  <c r="F39"/>
  <c r="H86" i="1"/>
  <c r="I86" s="1"/>
  <c r="G89"/>
  <c r="A184" l="1"/>
  <c r="A192"/>
  <c r="A187"/>
  <c r="J6" i="4"/>
  <c r="J10" s="1"/>
  <c r="L8"/>
  <c r="G7"/>
  <c r="K11"/>
  <c r="L11" s="1"/>
  <c r="K9"/>
  <c r="H172" i="1"/>
  <c r="I173"/>
  <c r="G172"/>
  <c r="C193"/>
  <c r="C191"/>
  <c r="C190"/>
  <c r="C194"/>
  <c r="C189"/>
  <c r="F8" i="3"/>
  <c r="F10" s="1"/>
  <c r="F4" s="1"/>
  <c r="H10"/>
  <c r="G11"/>
  <c r="H4"/>
  <c r="J86" i="1"/>
  <c r="H34" i="2"/>
  <c r="I34" s="1"/>
  <c r="J34" s="1"/>
  <c r="K34" s="1"/>
  <c r="L34" s="1"/>
  <c r="M34" s="1"/>
  <c r="N34" s="1"/>
  <c r="O34" s="1"/>
  <c r="P34" s="1"/>
  <c r="Q34" s="1"/>
  <c r="R34" s="1"/>
  <c r="S34" s="1"/>
  <c r="T34" s="1"/>
  <c r="U34" s="1"/>
  <c r="V34" s="1"/>
  <c r="W34" s="1"/>
  <c r="X34" s="1"/>
  <c r="Y34" s="1"/>
  <c r="W33"/>
  <c r="X33" s="1"/>
  <c r="Y33" s="1"/>
  <c r="V33"/>
  <c r="E28"/>
  <c r="F28"/>
  <c r="A183" i="1" l="1"/>
  <c r="M8" i="4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K6"/>
  <c r="M11"/>
  <c r="N11" s="1"/>
  <c r="O11" s="1"/>
  <c r="P11" s="1"/>
  <c r="Q11" s="1"/>
  <c r="R11" s="1"/>
  <c r="S11" s="1"/>
  <c r="T11" s="1"/>
  <c r="U11" s="1"/>
  <c r="V11" s="1"/>
  <c r="W11" s="1"/>
  <c r="X11" s="1"/>
  <c r="Y11" s="1"/>
  <c r="Z11" s="1"/>
  <c r="AA11" s="1"/>
  <c r="AB11" s="1"/>
  <c r="AC11" s="1"/>
  <c r="AD11" s="1"/>
  <c r="AE11" s="1"/>
  <c r="AF11" s="1"/>
  <c r="AG11" s="1"/>
  <c r="AH11" s="1"/>
  <c r="C192" i="1"/>
  <c r="I174"/>
  <c r="J173"/>
  <c r="K86"/>
  <c r="C37" i="2"/>
  <c r="H35"/>
  <c r="H36" s="1"/>
  <c r="G11" i="4" l="1"/>
  <c r="K10"/>
  <c r="L9"/>
  <c r="K30" i="2"/>
  <c r="K173" i="1"/>
  <c r="J174"/>
  <c r="I172"/>
  <c r="L86"/>
  <c r="I35" i="2"/>
  <c r="J35" s="1"/>
  <c r="F14"/>
  <c r="E14"/>
  <c r="D14"/>
  <c r="U12"/>
  <c r="T12"/>
  <c r="S12"/>
  <c r="R12"/>
  <c r="Q12"/>
  <c r="P12"/>
  <c r="O12"/>
  <c r="N12"/>
  <c r="M12"/>
  <c r="L12"/>
  <c r="K12"/>
  <c r="J12"/>
  <c r="I12"/>
  <c r="H12"/>
  <c r="G12"/>
  <c r="F12"/>
  <c r="E12"/>
  <c r="E11"/>
  <c r="G7"/>
  <c r="G10" s="1"/>
  <c r="G14" s="1"/>
  <c r="G24" s="1"/>
  <c r="U29" i="1"/>
  <c r="T29"/>
  <c r="S29"/>
  <c r="S43" s="1"/>
  <c r="S44" s="1"/>
  <c r="S93" s="1"/>
  <c r="R29"/>
  <c r="R43" s="1"/>
  <c r="R44" s="1"/>
  <c r="R93" s="1"/>
  <c r="R108" s="1"/>
  <c r="Q29"/>
  <c r="P29"/>
  <c r="O29"/>
  <c r="O43" s="1"/>
  <c r="O44" s="1"/>
  <c r="O93" s="1"/>
  <c r="N29"/>
  <c r="N43" s="1"/>
  <c r="N44" s="1"/>
  <c r="N93" s="1"/>
  <c r="N108" s="1"/>
  <c r="M29"/>
  <c r="L29"/>
  <c r="K29"/>
  <c r="K43" s="1"/>
  <c r="K44" s="1"/>
  <c r="K93" s="1"/>
  <c r="J29"/>
  <c r="J43" s="1"/>
  <c r="J44" s="1"/>
  <c r="J93" s="1"/>
  <c r="I29"/>
  <c r="I43" s="1"/>
  <c r="I44" s="1"/>
  <c r="I93" s="1"/>
  <c r="H29"/>
  <c r="G29"/>
  <c r="G43" s="1"/>
  <c r="G44" s="1"/>
  <c r="G93" s="1"/>
  <c r="U11"/>
  <c r="T11"/>
  <c r="Q11"/>
  <c r="P11"/>
  <c r="M11"/>
  <c r="L11"/>
  <c r="I11"/>
  <c r="H11"/>
  <c r="U76"/>
  <c r="T76"/>
  <c r="S76"/>
  <c r="R76"/>
  <c r="Q76"/>
  <c r="P76"/>
  <c r="O76"/>
  <c r="N76"/>
  <c r="M76"/>
  <c r="L76"/>
  <c r="K76"/>
  <c r="G85"/>
  <c r="G102" s="1"/>
  <c r="G103" s="1"/>
  <c r="H85"/>
  <c r="H102" s="1"/>
  <c r="H103" s="1"/>
  <c r="H21"/>
  <c r="I21" s="1"/>
  <c r="J21" s="1"/>
  <c r="K21" s="1"/>
  <c r="L21" s="1"/>
  <c r="M21" s="1"/>
  <c r="N21" s="1"/>
  <c r="O21" s="1"/>
  <c r="P21" s="1"/>
  <c r="Q21" s="1"/>
  <c r="R21" s="1"/>
  <c r="S21" s="1"/>
  <c r="T21" s="1"/>
  <c r="U21" s="1"/>
  <c r="H36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G24"/>
  <c r="G73" s="1"/>
  <c r="J76"/>
  <c r="I76"/>
  <c r="H76"/>
  <c r="G76"/>
  <c r="I84"/>
  <c r="J84" s="1"/>
  <c r="K84" s="1"/>
  <c r="L84" s="1"/>
  <c r="M84" s="1"/>
  <c r="N84" s="1"/>
  <c r="O84" s="1"/>
  <c r="P84" s="1"/>
  <c r="Q84" s="1"/>
  <c r="R84" s="1"/>
  <c r="S84" s="1"/>
  <c r="T84" s="1"/>
  <c r="U84" s="1"/>
  <c r="S11"/>
  <c r="R11"/>
  <c r="O11"/>
  <c r="N11"/>
  <c r="K11"/>
  <c r="J11"/>
  <c r="BB143"/>
  <c r="BK142"/>
  <c r="BK141"/>
  <c r="BK139"/>
  <c r="BK137"/>
  <c r="BK136"/>
  <c r="BK133"/>
  <c r="BK132"/>
  <c r="BK130"/>
  <c r="BK127"/>
  <c r="BK124"/>
  <c r="BB116"/>
  <c r="BK115"/>
  <c r="BK114"/>
  <c r="BK112"/>
  <c r="BK110"/>
  <c r="BK109"/>
  <c r="BK108"/>
  <c r="BK106"/>
  <c r="BK105"/>
  <c r="BK103"/>
  <c r="BK102"/>
  <c r="BK100"/>
  <c r="BK97"/>
  <c r="H83"/>
  <c r="I83" s="1"/>
  <c r="H82"/>
  <c r="I82" s="1"/>
  <c r="J82" s="1"/>
  <c r="BB82" s="1"/>
  <c r="BB80"/>
  <c r="BB79"/>
  <c r="H78"/>
  <c r="I78" s="1"/>
  <c r="BB67"/>
  <c r="G50"/>
  <c r="G49"/>
  <c r="G48"/>
  <c r="BB43"/>
  <c r="H43"/>
  <c r="H44" s="1"/>
  <c r="H93" s="1"/>
  <c r="H40"/>
  <c r="I40" s="1"/>
  <c r="J40" s="1"/>
  <c r="BB40" s="1"/>
  <c r="H39"/>
  <c r="I39" s="1"/>
  <c r="H38"/>
  <c r="H37"/>
  <c r="I37" s="1"/>
  <c r="J37" s="1"/>
  <c r="BB37" s="1"/>
  <c r="BB36"/>
  <c r="BB35" s="1"/>
  <c r="G35"/>
  <c r="H89" s="1"/>
  <c r="H34"/>
  <c r="I34" s="1"/>
  <c r="J34" s="1"/>
  <c r="BB34" s="1"/>
  <c r="H33"/>
  <c r="I33" s="1"/>
  <c r="J33" s="1"/>
  <c r="H32"/>
  <c r="I32" s="1"/>
  <c r="H31"/>
  <c r="I31" s="1"/>
  <c r="J31" s="1"/>
  <c r="BB31" s="1"/>
  <c r="H30"/>
  <c r="I30" s="1"/>
  <c r="J30" s="1"/>
  <c r="H27"/>
  <c r="H26"/>
  <c r="I26" s="1"/>
  <c r="J26" s="1"/>
  <c r="BB26" s="1"/>
  <c r="H25"/>
  <c r="I25" s="1"/>
  <c r="J25" s="1"/>
  <c r="BB25" s="1"/>
  <c r="H23"/>
  <c r="I23" s="1"/>
  <c r="J23" s="1"/>
  <c r="BB23" s="1"/>
  <c r="L6" i="4" l="1"/>
  <c r="L30" i="2"/>
  <c r="J42"/>
  <c r="L173" i="1"/>
  <c r="K174"/>
  <c r="K172" s="1"/>
  <c r="J172"/>
  <c r="G65"/>
  <c r="BG114" s="1"/>
  <c r="M86"/>
  <c r="G53"/>
  <c r="G54" s="1"/>
  <c r="G130" s="1"/>
  <c r="BG130" s="1"/>
  <c r="I36" i="2"/>
  <c r="G29"/>
  <c r="G31" s="1"/>
  <c r="J36"/>
  <c r="K35"/>
  <c r="G63" i="1"/>
  <c r="I65"/>
  <c r="G11"/>
  <c r="N92"/>
  <c r="M43"/>
  <c r="M44" s="1"/>
  <c r="M93" s="1"/>
  <c r="M108" s="1"/>
  <c r="Q43"/>
  <c r="Q44" s="1"/>
  <c r="Q93" s="1"/>
  <c r="Q108" s="1"/>
  <c r="U43"/>
  <c r="U44" s="1"/>
  <c r="U93" s="1"/>
  <c r="U108" s="1"/>
  <c r="H92"/>
  <c r="H112" s="1"/>
  <c r="H115" s="1"/>
  <c r="L43"/>
  <c r="L44" s="1"/>
  <c r="L93" s="1"/>
  <c r="L108" s="1"/>
  <c r="P43"/>
  <c r="P44" s="1"/>
  <c r="P93" s="1"/>
  <c r="P108" s="1"/>
  <c r="T43"/>
  <c r="T44" s="1"/>
  <c r="T93" s="1"/>
  <c r="T108" s="1"/>
  <c r="BK116"/>
  <c r="I85"/>
  <c r="J85" s="1"/>
  <c r="K85" s="1"/>
  <c r="L85" s="1"/>
  <c r="M85" s="1"/>
  <c r="N85" s="1"/>
  <c r="J92"/>
  <c r="G92"/>
  <c r="G112" s="1"/>
  <c r="G115" s="1"/>
  <c r="R92"/>
  <c r="J105"/>
  <c r="J106" s="1"/>
  <c r="G166" s="1"/>
  <c r="J108"/>
  <c r="I108"/>
  <c r="I105"/>
  <c r="G108"/>
  <c r="G105"/>
  <c r="I109"/>
  <c r="H108"/>
  <c r="H105"/>
  <c r="H109"/>
  <c r="K82"/>
  <c r="L82" s="1"/>
  <c r="M82" s="1"/>
  <c r="N82" s="1"/>
  <c r="O82" s="1"/>
  <c r="P82" s="1"/>
  <c r="Q82" s="1"/>
  <c r="I92"/>
  <c r="K92"/>
  <c r="O92"/>
  <c r="S92"/>
  <c r="K108"/>
  <c r="O108"/>
  <c r="S108"/>
  <c r="BK143"/>
  <c r="H24"/>
  <c r="H73" s="1"/>
  <c r="H35"/>
  <c r="I24"/>
  <c r="I73" s="1"/>
  <c r="K31"/>
  <c r="L31" s="1"/>
  <c r="M31" s="1"/>
  <c r="N31" s="1"/>
  <c r="O31" s="1"/>
  <c r="P31" s="1"/>
  <c r="Q31" s="1"/>
  <c r="R31" s="1"/>
  <c r="S31" s="1"/>
  <c r="T31" s="1"/>
  <c r="U31" s="1"/>
  <c r="J24"/>
  <c r="J73" s="1"/>
  <c r="G81"/>
  <c r="G98" s="1"/>
  <c r="G97" s="1"/>
  <c r="BG97" s="1"/>
  <c r="K26"/>
  <c r="L26" s="1"/>
  <c r="M26" s="1"/>
  <c r="N26" s="1"/>
  <c r="O26" s="1"/>
  <c r="P26" s="1"/>
  <c r="Q26" s="1"/>
  <c r="R26" s="1"/>
  <c r="S26" s="1"/>
  <c r="T26" s="1"/>
  <c r="U26" s="1"/>
  <c r="BB30"/>
  <c r="K30"/>
  <c r="J53"/>
  <c r="BB33"/>
  <c r="K33"/>
  <c r="L33" s="1"/>
  <c r="M33" s="1"/>
  <c r="N33" s="1"/>
  <c r="O33" s="1"/>
  <c r="P33" s="1"/>
  <c r="Q33" s="1"/>
  <c r="R33" s="1"/>
  <c r="S33" s="1"/>
  <c r="T33" s="1"/>
  <c r="U33" s="1"/>
  <c r="K34"/>
  <c r="L34" s="1"/>
  <c r="M34" s="1"/>
  <c r="N34" s="1"/>
  <c r="O34" s="1"/>
  <c r="P34" s="1"/>
  <c r="Q34" s="1"/>
  <c r="R34" s="1"/>
  <c r="S34" s="1"/>
  <c r="T34" s="1"/>
  <c r="U34" s="1"/>
  <c r="J39"/>
  <c r="J49"/>
  <c r="J59"/>
  <c r="K23"/>
  <c r="K24" s="1"/>
  <c r="K73" s="1"/>
  <c r="K25"/>
  <c r="L25" s="1"/>
  <c r="M25" s="1"/>
  <c r="N25" s="1"/>
  <c r="O25" s="1"/>
  <c r="P25" s="1"/>
  <c r="Q25" s="1"/>
  <c r="R25" s="1"/>
  <c r="S25" s="1"/>
  <c r="T25" s="1"/>
  <c r="U25" s="1"/>
  <c r="K37"/>
  <c r="L37" s="1"/>
  <c r="M37" s="1"/>
  <c r="N37" s="1"/>
  <c r="O37" s="1"/>
  <c r="P37" s="1"/>
  <c r="Q37" s="1"/>
  <c r="R37" s="1"/>
  <c r="S37" s="1"/>
  <c r="T37" s="1"/>
  <c r="U37" s="1"/>
  <c r="G59"/>
  <c r="G56"/>
  <c r="H56"/>
  <c r="H57" s="1"/>
  <c r="H48"/>
  <c r="H51" s="1"/>
  <c r="BG102"/>
  <c r="H60"/>
  <c r="I27"/>
  <c r="J27" s="1"/>
  <c r="J50" s="1"/>
  <c r="H53"/>
  <c r="H54" s="1"/>
  <c r="H130" s="1"/>
  <c r="BB76"/>
  <c r="J83"/>
  <c r="I59"/>
  <c r="J78"/>
  <c r="K78" s="1"/>
  <c r="L78" s="1"/>
  <c r="M78" s="1"/>
  <c r="I53"/>
  <c r="G51"/>
  <c r="H59"/>
  <c r="H65"/>
  <c r="G109"/>
  <c r="J32"/>
  <c r="I38"/>
  <c r="H50"/>
  <c r="G60"/>
  <c r="G136" s="1"/>
  <c r="I49"/>
  <c r="H49"/>
  <c r="L10" i="4" l="1"/>
  <c r="M30" i="2"/>
  <c r="L42"/>
  <c r="K42"/>
  <c r="M173" i="1"/>
  <c r="L174"/>
  <c r="G141"/>
  <c r="BG141" s="1"/>
  <c r="G139"/>
  <c r="BG139" s="1"/>
  <c r="I141"/>
  <c r="BI141" s="1"/>
  <c r="H141"/>
  <c r="BH141" s="1"/>
  <c r="H63"/>
  <c r="H67" s="1"/>
  <c r="I89"/>
  <c r="I112" s="1"/>
  <c r="I115" s="1"/>
  <c r="N86"/>
  <c r="BG103"/>
  <c r="G66"/>
  <c r="BG115" s="1"/>
  <c r="BG112"/>
  <c r="L102"/>
  <c r="L103" s="1"/>
  <c r="I165" s="1"/>
  <c r="J38" i="2"/>
  <c r="J39" s="1"/>
  <c r="K36"/>
  <c r="L35"/>
  <c r="Q92" i="1"/>
  <c r="P92"/>
  <c r="BI114"/>
  <c r="U92"/>
  <c r="BJ132"/>
  <c r="T92"/>
  <c r="M105"/>
  <c r="M106" s="1"/>
  <c r="J166" s="1"/>
  <c r="M92"/>
  <c r="L92"/>
  <c r="BG108"/>
  <c r="N105"/>
  <c r="N106" s="1"/>
  <c r="K166" s="1"/>
  <c r="J102"/>
  <c r="J103" s="1"/>
  <c r="G165" s="1"/>
  <c r="I102"/>
  <c r="I103" s="1"/>
  <c r="K102"/>
  <c r="K103" s="1"/>
  <c r="H165" s="1"/>
  <c r="L105"/>
  <c r="L106" s="1"/>
  <c r="I166" s="1"/>
  <c r="K105"/>
  <c r="K106" s="1"/>
  <c r="H166" s="1"/>
  <c r="H136"/>
  <c r="BH136" s="1"/>
  <c r="O105"/>
  <c r="O106" s="1"/>
  <c r="L166" s="1"/>
  <c r="M102"/>
  <c r="M103" s="1"/>
  <c r="J165" s="1"/>
  <c r="BB83"/>
  <c r="K83"/>
  <c r="J109"/>
  <c r="BJ108"/>
  <c r="N102"/>
  <c r="N103" s="1"/>
  <c r="K165" s="1"/>
  <c r="O85"/>
  <c r="N78"/>
  <c r="P105"/>
  <c r="P106" s="1"/>
  <c r="M166" s="1"/>
  <c r="R82"/>
  <c r="Q105"/>
  <c r="Q106" s="1"/>
  <c r="N166" s="1"/>
  <c r="I35"/>
  <c r="J89" s="1"/>
  <c r="J112" s="1"/>
  <c r="H81"/>
  <c r="H98" s="1"/>
  <c r="H97" s="1"/>
  <c r="BH97" s="1"/>
  <c r="BG124"/>
  <c r="G100"/>
  <c r="BG100" s="1"/>
  <c r="BH102"/>
  <c r="J60"/>
  <c r="G179" s="1"/>
  <c r="G191" s="1"/>
  <c r="BB78"/>
  <c r="J48"/>
  <c r="BB32"/>
  <c r="K32"/>
  <c r="L30"/>
  <c r="K53"/>
  <c r="K54" s="1"/>
  <c r="J54"/>
  <c r="BG105"/>
  <c r="G57"/>
  <c r="G67" s="1"/>
  <c r="BB27"/>
  <c r="BF26" s="1"/>
  <c r="K27"/>
  <c r="L27" s="1"/>
  <c r="M27" s="1"/>
  <c r="N27" s="1"/>
  <c r="O27" s="1"/>
  <c r="P27" s="1"/>
  <c r="Q27" s="1"/>
  <c r="R27" s="1"/>
  <c r="S27" s="1"/>
  <c r="T27" s="1"/>
  <c r="U27" s="1"/>
  <c r="K59"/>
  <c r="K49"/>
  <c r="L23"/>
  <c r="L24" s="1"/>
  <c r="L73" s="1"/>
  <c r="K39"/>
  <c r="J65"/>
  <c r="I48"/>
  <c r="I51" s="1"/>
  <c r="I50"/>
  <c r="I60"/>
  <c r="I136" s="1"/>
  <c r="BH130"/>
  <c r="BH108"/>
  <c r="H61"/>
  <c r="H106"/>
  <c r="BH106" s="1"/>
  <c r="BH132"/>
  <c r="BH103"/>
  <c r="BG136"/>
  <c r="BG109"/>
  <c r="BI102"/>
  <c r="I54"/>
  <c r="I130" s="1"/>
  <c r="BI130" s="1"/>
  <c r="BH105"/>
  <c r="BH109"/>
  <c r="I56"/>
  <c r="J38"/>
  <c r="G106"/>
  <c r="BG132"/>
  <c r="BB92"/>
  <c r="BH114"/>
  <c r="M9" i="4" l="1"/>
  <c r="N30" i="2"/>
  <c r="M42"/>
  <c r="N173" i="1"/>
  <c r="M174"/>
  <c r="M172" s="1"/>
  <c r="L172"/>
  <c r="H66"/>
  <c r="H142" s="1"/>
  <c r="BH142" s="1"/>
  <c r="G142"/>
  <c r="BG142" s="1"/>
  <c r="K130"/>
  <c r="H177"/>
  <c r="H189" s="1"/>
  <c r="J130"/>
  <c r="BJ130" s="1"/>
  <c r="G177"/>
  <c r="G189" s="1"/>
  <c r="G162"/>
  <c r="G186" s="1"/>
  <c r="J115"/>
  <c r="O86"/>
  <c r="BH112"/>
  <c r="H139"/>
  <c r="BH139" s="1"/>
  <c r="J141"/>
  <c r="BJ141" s="1"/>
  <c r="G182"/>
  <c r="G194" s="1"/>
  <c r="K38" i="2"/>
  <c r="K39" s="1"/>
  <c r="L36"/>
  <c r="M35"/>
  <c r="H7"/>
  <c r="H10" s="1"/>
  <c r="H14" s="1"/>
  <c r="H24" s="1"/>
  <c r="G127" i="1"/>
  <c r="BG127" s="1"/>
  <c r="BJ102"/>
  <c r="H68"/>
  <c r="G61"/>
  <c r="G133"/>
  <c r="BG133" s="1"/>
  <c r="J136"/>
  <c r="BJ136" s="1"/>
  <c r="H133"/>
  <c r="BH133" s="1"/>
  <c r="BH124"/>
  <c r="L83"/>
  <c r="K109"/>
  <c r="S82"/>
  <c r="R105"/>
  <c r="R106" s="1"/>
  <c r="O166" s="1"/>
  <c r="O78"/>
  <c r="P85"/>
  <c r="O102"/>
  <c r="O103" s="1"/>
  <c r="L165" s="1"/>
  <c r="J35"/>
  <c r="K89" s="1"/>
  <c r="K112" s="1"/>
  <c r="I63"/>
  <c r="I81"/>
  <c r="I98" s="1"/>
  <c r="I97" s="1"/>
  <c r="BI124" s="1"/>
  <c r="H100"/>
  <c r="BJ109"/>
  <c r="K48"/>
  <c r="K51" s="1"/>
  <c r="H176" s="1"/>
  <c r="J51"/>
  <c r="G176" s="1"/>
  <c r="K60"/>
  <c r="H179" s="1"/>
  <c r="H191" s="1"/>
  <c r="G110"/>
  <c r="BG106"/>
  <c r="BB38"/>
  <c r="J56"/>
  <c r="K38"/>
  <c r="BJ114"/>
  <c r="L32"/>
  <c r="BJ103"/>
  <c r="K65"/>
  <c r="H182" s="1"/>
  <c r="H194" s="1"/>
  <c r="L39"/>
  <c r="M30"/>
  <c r="L53"/>
  <c r="L54" s="1"/>
  <c r="M23"/>
  <c r="M24" s="1"/>
  <c r="M73" s="1"/>
  <c r="L60"/>
  <c r="I179" s="1"/>
  <c r="I191" s="1"/>
  <c r="L50"/>
  <c r="L48"/>
  <c r="L51" s="1"/>
  <c r="I176" s="1"/>
  <c r="L59"/>
  <c r="L49"/>
  <c r="K50"/>
  <c r="BI103"/>
  <c r="BI108"/>
  <c r="BI105"/>
  <c r="G116"/>
  <c r="I57"/>
  <c r="M6" i="4" l="1"/>
  <c r="O30" i="2"/>
  <c r="N42"/>
  <c r="O173" i="1"/>
  <c r="N174"/>
  <c r="N172" s="1"/>
  <c r="BH115"/>
  <c r="L130"/>
  <c r="I177"/>
  <c r="I189" s="1"/>
  <c r="P86"/>
  <c r="K141"/>
  <c r="H162"/>
  <c r="H186" s="1"/>
  <c r="K115"/>
  <c r="I139"/>
  <c r="BI139" s="1"/>
  <c r="I67"/>
  <c r="L38" i="2"/>
  <c r="L39" s="1"/>
  <c r="H29"/>
  <c r="M36"/>
  <c r="N35"/>
  <c r="I7"/>
  <c r="I10" s="1"/>
  <c r="I14" s="1"/>
  <c r="I24" s="1"/>
  <c r="I29" s="1"/>
  <c r="I31" s="1"/>
  <c r="BG110" i="1"/>
  <c r="I61"/>
  <c r="H127"/>
  <c r="BH127" s="1"/>
  <c r="G137"/>
  <c r="BG137" s="1"/>
  <c r="K136"/>
  <c r="G68"/>
  <c r="G143"/>
  <c r="BG143" s="1"/>
  <c r="I100"/>
  <c r="M83"/>
  <c r="L109"/>
  <c r="L136" s="1"/>
  <c r="T82"/>
  <c r="S105"/>
  <c r="S106" s="1"/>
  <c r="P166" s="1"/>
  <c r="P102"/>
  <c r="P103" s="1"/>
  <c r="M165" s="1"/>
  <c r="Q85"/>
  <c r="P78"/>
  <c r="H116"/>
  <c r="BH100"/>
  <c r="H110"/>
  <c r="K35"/>
  <c r="J81"/>
  <c r="J98" s="1"/>
  <c r="J97" s="1"/>
  <c r="J100" s="1"/>
  <c r="J63"/>
  <c r="BI97"/>
  <c r="BI112"/>
  <c r="I66"/>
  <c r="M39"/>
  <c r="L65"/>
  <c r="I182" s="1"/>
  <c r="I194" s="1"/>
  <c r="J57"/>
  <c r="BJ105"/>
  <c r="N30"/>
  <c r="M53"/>
  <c r="M54" s="1"/>
  <c r="M32"/>
  <c r="L38"/>
  <c r="K56"/>
  <c r="K57" s="1"/>
  <c r="H178" s="1"/>
  <c r="H190" s="1"/>
  <c r="N23"/>
  <c r="N24" s="1"/>
  <c r="N73" s="1"/>
  <c r="M60"/>
  <c r="J179" s="1"/>
  <c r="J191" s="1"/>
  <c r="M59"/>
  <c r="M50"/>
  <c r="M49"/>
  <c r="M48"/>
  <c r="M51" s="1"/>
  <c r="J176" s="1"/>
  <c r="BG116"/>
  <c r="BI109"/>
  <c r="BI136"/>
  <c r="BI132"/>
  <c r="I106"/>
  <c r="I133" s="1"/>
  <c r="M10" i="4" l="1"/>
  <c r="P30" i="2"/>
  <c r="O42"/>
  <c r="P173" i="1"/>
  <c r="O174"/>
  <c r="O172" s="1"/>
  <c r="H175"/>
  <c r="M130"/>
  <c r="J177"/>
  <c r="J189" s="1"/>
  <c r="Q86"/>
  <c r="L141"/>
  <c r="J133"/>
  <c r="BJ133" s="1"/>
  <c r="G178"/>
  <c r="K81"/>
  <c r="K98" s="1"/>
  <c r="K97" s="1"/>
  <c r="K100" s="1"/>
  <c r="K116" s="1"/>
  <c r="K26" i="2" s="1"/>
  <c r="L89" i="1"/>
  <c r="L112" s="1"/>
  <c r="J139"/>
  <c r="BJ139" s="1"/>
  <c r="J70"/>
  <c r="K70" s="1"/>
  <c r="G181"/>
  <c r="J67"/>
  <c r="J27" i="2" s="1"/>
  <c r="J127" i="1"/>
  <c r="BJ127" s="1"/>
  <c r="G164"/>
  <c r="M38" i="2"/>
  <c r="M39" s="1"/>
  <c r="H31"/>
  <c r="O35"/>
  <c r="N36"/>
  <c r="J7"/>
  <c r="J10" s="1"/>
  <c r="J14" s="1"/>
  <c r="J24" s="1"/>
  <c r="BI115" i="1"/>
  <c r="I142"/>
  <c r="BI142" s="1"/>
  <c r="H143"/>
  <c r="BH143" s="1"/>
  <c r="BI100"/>
  <c r="I127"/>
  <c r="BI127" s="1"/>
  <c r="I68"/>
  <c r="K61"/>
  <c r="K133"/>
  <c r="BH110"/>
  <c r="H137"/>
  <c r="BH137" s="1"/>
  <c r="N83"/>
  <c r="M109"/>
  <c r="M136" s="1"/>
  <c r="J110"/>
  <c r="J116"/>
  <c r="J26" i="2" s="1"/>
  <c r="U82" i="1"/>
  <c r="U105" s="1"/>
  <c r="U106" s="1"/>
  <c r="R166" s="1"/>
  <c r="T105"/>
  <c r="T106" s="1"/>
  <c r="Q166" s="1"/>
  <c r="Q78"/>
  <c r="R85"/>
  <c r="Q102"/>
  <c r="Q103" s="1"/>
  <c r="N165" s="1"/>
  <c r="BJ100"/>
  <c r="BH116"/>
  <c r="L35"/>
  <c r="K63"/>
  <c r="BJ124"/>
  <c r="BJ97"/>
  <c r="BJ112"/>
  <c r="J66"/>
  <c r="O23"/>
  <c r="O24" s="1"/>
  <c r="O73" s="1"/>
  <c r="N60"/>
  <c r="K179" s="1"/>
  <c r="K191" s="1"/>
  <c r="N59"/>
  <c r="N50"/>
  <c r="N49"/>
  <c r="N48"/>
  <c r="N51" s="1"/>
  <c r="K176" s="1"/>
  <c r="N32"/>
  <c r="BJ106"/>
  <c r="J61"/>
  <c r="M38"/>
  <c r="L56"/>
  <c r="L57" s="1"/>
  <c r="I178" s="1"/>
  <c r="O30"/>
  <c r="N53"/>
  <c r="N54" s="1"/>
  <c r="N39"/>
  <c r="M65"/>
  <c r="J182" s="1"/>
  <c r="I116"/>
  <c r="I143" s="1"/>
  <c r="BI133"/>
  <c r="BI106"/>
  <c r="I110"/>
  <c r="I137" s="1"/>
  <c r="N9" i="4" l="1"/>
  <c r="Q30" i="2"/>
  <c r="P42"/>
  <c r="Q173" i="1"/>
  <c r="P174"/>
  <c r="P172" s="1"/>
  <c r="J25" i="2"/>
  <c r="J29" s="1"/>
  <c r="J31" s="1"/>
  <c r="G163" i="1"/>
  <c r="G188"/>
  <c r="G175"/>
  <c r="G190"/>
  <c r="J194"/>
  <c r="N130"/>
  <c r="K177"/>
  <c r="K189" s="1"/>
  <c r="G180"/>
  <c r="G193"/>
  <c r="G192" s="1"/>
  <c r="K67"/>
  <c r="K27" i="2" s="1"/>
  <c r="H181" i="1"/>
  <c r="I190"/>
  <c r="I175"/>
  <c r="M141"/>
  <c r="K127"/>
  <c r="H164"/>
  <c r="R86"/>
  <c r="K110"/>
  <c r="K137" s="1"/>
  <c r="L81"/>
  <c r="L98" s="1"/>
  <c r="L97" s="1"/>
  <c r="L100" s="1"/>
  <c r="M89"/>
  <c r="M112" s="1"/>
  <c r="I162"/>
  <c r="I186" s="1"/>
  <c r="L115"/>
  <c r="K25" i="2"/>
  <c r="G171" i="1"/>
  <c r="G226" s="1"/>
  <c r="G227" s="1"/>
  <c r="G161"/>
  <c r="N38" i="2"/>
  <c r="N39" s="1"/>
  <c r="P35"/>
  <c r="O36"/>
  <c r="K7"/>
  <c r="K10" s="1"/>
  <c r="K14" s="1"/>
  <c r="K24" s="1"/>
  <c r="J143" i="1"/>
  <c r="J137"/>
  <c r="BJ137" s="1"/>
  <c r="BJ115"/>
  <c r="J142"/>
  <c r="BJ142" s="1"/>
  <c r="BI143"/>
  <c r="L61"/>
  <c r="L133"/>
  <c r="K66"/>
  <c r="K142" s="1"/>
  <c r="K139"/>
  <c r="O83"/>
  <c r="N109"/>
  <c r="N136" s="1"/>
  <c r="L116"/>
  <c r="L26" i="2" s="1"/>
  <c r="L110" i="1"/>
  <c r="BJ110"/>
  <c r="R78"/>
  <c r="R102"/>
  <c r="R103" s="1"/>
  <c r="O165" s="1"/>
  <c r="S85"/>
  <c r="M35"/>
  <c r="L63"/>
  <c r="BJ116"/>
  <c r="J68"/>
  <c r="O39"/>
  <c r="N65"/>
  <c r="K182" s="1"/>
  <c r="K194" s="1"/>
  <c r="N38"/>
  <c r="M56"/>
  <c r="M57" s="1"/>
  <c r="J178" s="1"/>
  <c r="P23"/>
  <c r="P24" s="1"/>
  <c r="P73" s="1"/>
  <c r="O60"/>
  <c r="L179" s="1"/>
  <c r="L191" s="1"/>
  <c r="O49"/>
  <c r="O59"/>
  <c r="O50"/>
  <c r="O48"/>
  <c r="O51" s="1"/>
  <c r="L176" s="1"/>
  <c r="P30"/>
  <c r="O53"/>
  <c r="O54" s="1"/>
  <c r="O32"/>
  <c r="BI116"/>
  <c r="BI137"/>
  <c r="BI110"/>
  <c r="N6" i="4" l="1"/>
  <c r="H206" i="1"/>
  <c r="H205" s="1"/>
  <c r="G223"/>
  <c r="G222" s="1"/>
  <c r="R30" i="2"/>
  <c r="Q42"/>
  <c r="R173" i="1"/>
  <c r="Q174"/>
  <c r="Q172" s="1"/>
  <c r="G187"/>
  <c r="H193"/>
  <c r="H192" s="1"/>
  <c r="H180"/>
  <c r="H171" s="1"/>
  <c r="H226" s="1"/>
  <c r="J175"/>
  <c r="J190"/>
  <c r="G160"/>
  <c r="G185"/>
  <c r="G184" s="1"/>
  <c r="G183" s="1"/>
  <c r="O130"/>
  <c r="L177"/>
  <c r="L189" s="1"/>
  <c r="L67"/>
  <c r="L27" i="2" s="1"/>
  <c r="L25" s="1"/>
  <c r="I181" i="1"/>
  <c r="H163"/>
  <c r="H188"/>
  <c r="H187" s="1"/>
  <c r="M81"/>
  <c r="M98" s="1"/>
  <c r="M97" s="1"/>
  <c r="M100" s="1"/>
  <c r="M110" s="1"/>
  <c r="N89"/>
  <c r="N112" s="1"/>
  <c r="J162"/>
  <c r="J186" s="1"/>
  <c r="M115"/>
  <c r="S86"/>
  <c r="N141"/>
  <c r="L127"/>
  <c r="I164"/>
  <c r="I206" s="1"/>
  <c r="I205" s="1"/>
  <c r="K29" i="2"/>
  <c r="K31" s="1"/>
  <c r="H161" i="1"/>
  <c r="BJ143"/>
  <c r="O38" i="2"/>
  <c r="O39" s="1"/>
  <c r="Q35"/>
  <c r="P36"/>
  <c r="L7"/>
  <c r="L10" s="1"/>
  <c r="L14" s="1"/>
  <c r="L24" s="1"/>
  <c r="L66" i="1"/>
  <c r="L142" s="1"/>
  <c r="L139"/>
  <c r="L137"/>
  <c r="M61"/>
  <c r="M133"/>
  <c r="K68"/>
  <c r="K143"/>
  <c r="P83"/>
  <c r="O109"/>
  <c r="O136" s="1"/>
  <c r="S78"/>
  <c r="S102"/>
  <c r="S103" s="1"/>
  <c r="P165" s="1"/>
  <c r="T85"/>
  <c r="N35"/>
  <c r="M63"/>
  <c r="Q30"/>
  <c r="P53"/>
  <c r="P54" s="1"/>
  <c r="P32"/>
  <c r="Q23"/>
  <c r="Q24" s="1"/>
  <c r="Q73" s="1"/>
  <c r="P59"/>
  <c r="P49"/>
  <c r="P60"/>
  <c r="M179" s="1"/>
  <c r="M191" s="1"/>
  <c r="P50"/>
  <c r="P48"/>
  <c r="P51" s="1"/>
  <c r="M176" s="1"/>
  <c r="P39"/>
  <c r="O65"/>
  <c r="L182" s="1"/>
  <c r="L194" s="1"/>
  <c r="O38"/>
  <c r="N56"/>
  <c r="N57" s="1"/>
  <c r="K178" s="1"/>
  <c r="K190" s="1"/>
  <c r="N10" i="4" l="1"/>
  <c r="D13" i="3"/>
  <c r="H225" i="1"/>
  <c r="H227" s="1"/>
  <c r="G159"/>
  <c r="D4" i="3"/>
  <c r="D14" s="1"/>
  <c r="H223" i="1"/>
  <c r="H222" s="1"/>
  <c r="S30" i="2"/>
  <c r="R42"/>
  <c r="R174" i="1"/>
  <c r="C174" s="1"/>
  <c r="C186" s="1"/>
  <c r="C173"/>
  <c r="P130"/>
  <c r="M177"/>
  <c r="H160"/>
  <c r="H159" s="1"/>
  <c r="H185"/>
  <c r="H184" s="1"/>
  <c r="H183" s="1"/>
  <c r="M67"/>
  <c r="M27" i="2" s="1"/>
  <c r="J181" i="1"/>
  <c r="I180"/>
  <c r="I171" s="1"/>
  <c r="I226" s="1"/>
  <c r="I193"/>
  <c r="I192" s="1"/>
  <c r="M116"/>
  <c r="M26" i="2" s="1"/>
  <c r="M25" s="1"/>
  <c r="K175" i="1"/>
  <c r="I163"/>
  <c r="I225" s="1"/>
  <c r="I227" s="1"/>
  <c r="I188"/>
  <c r="I187" s="1"/>
  <c r="T86"/>
  <c r="N81"/>
  <c r="N98" s="1"/>
  <c r="N97" s="1"/>
  <c r="N100" s="1"/>
  <c r="N110" s="1"/>
  <c r="O89"/>
  <c r="O112" s="1"/>
  <c r="M127"/>
  <c r="J164"/>
  <c r="O141"/>
  <c r="K162"/>
  <c r="K186" s="1"/>
  <c r="N115"/>
  <c r="L29" i="2"/>
  <c r="L31" s="1"/>
  <c r="I161" i="1"/>
  <c r="P38" i="2"/>
  <c r="P39" s="1"/>
  <c r="Q36"/>
  <c r="R35"/>
  <c r="M7"/>
  <c r="M10" s="1"/>
  <c r="M14" s="1"/>
  <c r="M24" s="1"/>
  <c r="M137" i="1"/>
  <c r="M66"/>
  <c r="M142" s="1"/>
  <c r="M139"/>
  <c r="L68"/>
  <c r="L143"/>
  <c r="N61"/>
  <c r="N133"/>
  <c r="Q83"/>
  <c r="P109"/>
  <c r="P136" s="1"/>
  <c r="T78"/>
  <c r="U85"/>
  <c r="U102" s="1"/>
  <c r="U103" s="1"/>
  <c r="R165" s="1"/>
  <c r="T102"/>
  <c r="T103" s="1"/>
  <c r="Q165" s="1"/>
  <c r="O35"/>
  <c r="N63"/>
  <c r="Q39"/>
  <c r="P65"/>
  <c r="M182" s="1"/>
  <c r="M194" s="1"/>
  <c r="Q32"/>
  <c r="R23"/>
  <c r="R24" s="1"/>
  <c r="R73" s="1"/>
  <c r="Q60"/>
  <c r="N179" s="1"/>
  <c r="N191" s="1"/>
  <c r="Q59"/>
  <c r="Q50"/>
  <c r="Q49"/>
  <c r="Q48"/>
  <c r="Q51" s="1"/>
  <c r="N176" s="1"/>
  <c r="R30"/>
  <c r="Q53"/>
  <c r="Q54" s="1"/>
  <c r="P38"/>
  <c r="O56"/>
  <c r="O57" s="1"/>
  <c r="L178" s="1"/>
  <c r="O9" i="4" l="1"/>
  <c r="J206" i="1"/>
  <c r="J205" s="1"/>
  <c r="H13" i="3"/>
  <c r="H14" s="1"/>
  <c r="H16" s="1"/>
  <c r="G13"/>
  <c r="G14" s="1"/>
  <c r="E13"/>
  <c r="I223" i="1"/>
  <c r="I222" s="1"/>
  <c r="T30" i="2"/>
  <c r="S42"/>
  <c r="R172" i="1"/>
  <c r="C172" s="1"/>
  <c r="V14" i="3" s="1"/>
  <c r="L190" i="1"/>
  <c r="L175"/>
  <c r="I160"/>
  <c r="I185"/>
  <c r="I184" s="1"/>
  <c r="I183" s="1"/>
  <c r="M189"/>
  <c r="Q130"/>
  <c r="N177"/>
  <c r="N189" s="1"/>
  <c r="N116"/>
  <c r="N26" i="2" s="1"/>
  <c r="J163" i="1"/>
  <c r="J188"/>
  <c r="J187" s="1"/>
  <c r="N67"/>
  <c r="N27" i="2" s="1"/>
  <c r="K181" i="1"/>
  <c r="J193"/>
  <c r="J192" s="1"/>
  <c r="J180"/>
  <c r="J171" s="1"/>
  <c r="J226" s="1"/>
  <c r="U86"/>
  <c r="O81"/>
  <c r="O98" s="1"/>
  <c r="O97" s="1"/>
  <c r="O100" s="1"/>
  <c r="O116" s="1"/>
  <c r="O26" i="2" s="1"/>
  <c r="P89" i="1"/>
  <c r="P112" s="1"/>
  <c r="N127"/>
  <c r="K164"/>
  <c r="K206" s="1"/>
  <c r="K205" s="1"/>
  <c r="N137"/>
  <c r="P141"/>
  <c r="L162"/>
  <c r="L186" s="1"/>
  <c r="O115"/>
  <c r="M29" i="2"/>
  <c r="M31" s="1"/>
  <c r="J161" i="1"/>
  <c r="J223" s="1"/>
  <c r="J222" s="1"/>
  <c r="Q38" i="2"/>
  <c r="Q39" s="1"/>
  <c r="S35"/>
  <c r="R36"/>
  <c r="N7"/>
  <c r="N10" s="1"/>
  <c r="N14" s="1"/>
  <c r="N24" s="1"/>
  <c r="M68" i="1"/>
  <c r="M143"/>
  <c r="N66"/>
  <c r="N142" s="1"/>
  <c r="N139"/>
  <c r="O61"/>
  <c r="O133"/>
  <c r="R83"/>
  <c r="Q109"/>
  <c r="Q136" s="1"/>
  <c r="U78"/>
  <c r="P35"/>
  <c r="O63"/>
  <c r="Q38"/>
  <c r="P56"/>
  <c r="P57" s="1"/>
  <c r="M178" s="1"/>
  <c r="M190" s="1"/>
  <c r="S30"/>
  <c r="R53"/>
  <c r="R54" s="1"/>
  <c r="R32"/>
  <c r="S23"/>
  <c r="S24" s="1"/>
  <c r="S73" s="1"/>
  <c r="R60"/>
  <c r="O179" s="1"/>
  <c r="O191" s="1"/>
  <c r="R59"/>
  <c r="R50"/>
  <c r="R49"/>
  <c r="R48"/>
  <c r="R51" s="1"/>
  <c r="O176" s="1"/>
  <c r="R39"/>
  <c r="Q65"/>
  <c r="N182" s="1"/>
  <c r="O6" i="4" l="1"/>
  <c r="J225" i="1"/>
  <c r="J227" s="1"/>
  <c r="O110"/>
  <c r="E14" i="3"/>
  <c r="F13"/>
  <c r="F14" s="1"/>
  <c r="I159" i="1"/>
  <c r="U30" i="2"/>
  <c r="U42" s="1"/>
  <c r="T42"/>
  <c r="R130" i="1"/>
  <c r="O177"/>
  <c r="O189" s="1"/>
  <c r="O67"/>
  <c r="O27" i="2" s="1"/>
  <c r="O25" s="1"/>
  <c r="L181" i="1"/>
  <c r="K180"/>
  <c r="K171" s="1"/>
  <c r="K226" s="1"/>
  <c r="K193"/>
  <c r="K192" s="1"/>
  <c r="M175"/>
  <c r="N194"/>
  <c r="J160"/>
  <c r="J159" s="1"/>
  <c r="J185"/>
  <c r="J184" s="1"/>
  <c r="J183" s="1"/>
  <c r="K163"/>
  <c r="K225" s="1"/>
  <c r="K227" s="1"/>
  <c r="K188"/>
  <c r="K187" s="1"/>
  <c r="N25" i="2"/>
  <c r="Q141" i="1"/>
  <c r="O127"/>
  <c r="L164"/>
  <c r="P81"/>
  <c r="P98" s="1"/>
  <c r="P97" s="1"/>
  <c r="P100" s="1"/>
  <c r="P116" s="1"/>
  <c r="P26" i="2" s="1"/>
  <c r="Q89" i="1"/>
  <c r="Q112" s="1"/>
  <c r="M162"/>
  <c r="M186" s="1"/>
  <c r="P115"/>
  <c r="N29" i="2"/>
  <c r="N31" s="1"/>
  <c r="K161" i="1"/>
  <c r="R38" i="2"/>
  <c r="R39" s="1"/>
  <c r="T35"/>
  <c r="S36"/>
  <c r="F30"/>
  <c r="E30"/>
  <c r="O7"/>
  <c r="O10" s="1"/>
  <c r="O14" s="1"/>
  <c r="O24" s="1"/>
  <c r="O137" i="1"/>
  <c r="O68"/>
  <c r="O143"/>
  <c r="N68"/>
  <c r="N143"/>
  <c r="P61"/>
  <c r="P133"/>
  <c r="O66"/>
  <c r="O142" s="1"/>
  <c r="O139"/>
  <c r="S83"/>
  <c r="R109"/>
  <c r="R136" s="1"/>
  <c r="Q35"/>
  <c r="P63"/>
  <c r="M181" s="1"/>
  <c r="S39"/>
  <c r="R65"/>
  <c r="O182" s="1"/>
  <c r="O194" s="1"/>
  <c r="S32"/>
  <c r="T30"/>
  <c r="S53"/>
  <c r="S54" s="1"/>
  <c r="T23"/>
  <c r="T24" s="1"/>
  <c r="T73" s="1"/>
  <c r="S59"/>
  <c r="S50"/>
  <c r="S48"/>
  <c r="S51" s="1"/>
  <c r="P176" s="1"/>
  <c r="S60"/>
  <c r="P179" s="1"/>
  <c r="P191" s="1"/>
  <c r="S49"/>
  <c r="R38"/>
  <c r="Q56"/>
  <c r="Q57" s="1"/>
  <c r="N178" s="1"/>
  <c r="O10" i="4" l="1"/>
  <c r="L206" i="1"/>
  <c r="L205" s="1"/>
  <c r="H15" i="3"/>
  <c r="F15"/>
  <c r="K223" i="1"/>
  <c r="K222" s="1"/>
  <c r="P110"/>
  <c r="P137" s="1"/>
  <c r="M180"/>
  <c r="M171" s="1"/>
  <c r="M226" s="1"/>
  <c r="M193"/>
  <c r="M192" s="1"/>
  <c r="L163"/>
  <c r="L188"/>
  <c r="L187" s="1"/>
  <c r="O175"/>
  <c r="K160"/>
  <c r="K159" s="1"/>
  <c r="K185"/>
  <c r="K184" s="1"/>
  <c r="K183" s="1"/>
  <c r="N175"/>
  <c r="N190"/>
  <c r="S130"/>
  <c r="P177"/>
  <c r="P189" s="1"/>
  <c r="L180"/>
  <c r="L171" s="1"/>
  <c r="L226" s="1"/>
  <c r="L193"/>
  <c r="L192" s="1"/>
  <c r="R141"/>
  <c r="P139"/>
  <c r="P67"/>
  <c r="P27" i="2" s="1"/>
  <c r="P25" s="1"/>
  <c r="P127" i="1"/>
  <c r="M164"/>
  <c r="M206" s="1"/>
  <c r="M205" s="1"/>
  <c r="N162"/>
  <c r="N186" s="1"/>
  <c r="Q115"/>
  <c r="Q81"/>
  <c r="Q98" s="1"/>
  <c r="Q97" s="1"/>
  <c r="Q100" s="1"/>
  <c r="Q110" s="1"/>
  <c r="R89"/>
  <c r="R112" s="1"/>
  <c r="O29" i="2"/>
  <c r="O31" s="1"/>
  <c r="L161" i="1"/>
  <c r="L223" s="1"/>
  <c r="L222" s="1"/>
  <c r="S38" i="2"/>
  <c r="S39" s="1"/>
  <c r="T36"/>
  <c r="U35"/>
  <c r="P7"/>
  <c r="P10" s="1"/>
  <c r="P14" s="1"/>
  <c r="P24" s="1"/>
  <c r="Q61" i="1"/>
  <c r="Q133"/>
  <c r="T83"/>
  <c r="S109"/>
  <c r="S136" s="1"/>
  <c r="P66"/>
  <c r="P142" s="1"/>
  <c r="R35"/>
  <c r="Q63"/>
  <c r="S38"/>
  <c r="R56"/>
  <c r="R57" s="1"/>
  <c r="O178" s="1"/>
  <c r="O190" s="1"/>
  <c r="U23"/>
  <c r="U24" s="1"/>
  <c r="U73" s="1"/>
  <c r="T60"/>
  <c r="Q179" s="1"/>
  <c r="Q191" s="1"/>
  <c r="T50"/>
  <c r="T48"/>
  <c r="T51" s="1"/>
  <c r="Q176" s="1"/>
  <c r="T59"/>
  <c r="T49"/>
  <c r="U30"/>
  <c r="U53" s="1"/>
  <c r="U54" s="1"/>
  <c r="T53"/>
  <c r="T54" s="1"/>
  <c r="T39"/>
  <c r="S65"/>
  <c r="P182" s="1"/>
  <c r="P194" s="1"/>
  <c r="T32"/>
  <c r="P9" i="4" l="1"/>
  <c r="L225" i="1"/>
  <c r="L227" s="1"/>
  <c r="Q67"/>
  <c r="Q27" i="2" s="1"/>
  <c r="N181" i="1"/>
  <c r="L160"/>
  <c r="L159" s="1"/>
  <c r="L185"/>
  <c r="L184" s="1"/>
  <c r="L183" s="1"/>
  <c r="U130"/>
  <c r="R177"/>
  <c r="R189" s="1"/>
  <c r="T130"/>
  <c r="Q177"/>
  <c r="M163"/>
  <c r="M225" s="1"/>
  <c r="M227" s="1"/>
  <c r="M188"/>
  <c r="M187" s="1"/>
  <c r="R81"/>
  <c r="R98" s="1"/>
  <c r="R97" s="1"/>
  <c r="R100" s="1"/>
  <c r="R116" s="1"/>
  <c r="R26" i="2" s="1"/>
  <c r="S89" i="1"/>
  <c r="S112" s="1"/>
  <c r="Q116"/>
  <c r="Q26" i="2" s="1"/>
  <c r="Q25" s="1"/>
  <c r="Q127" i="1"/>
  <c r="N164"/>
  <c r="S141"/>
  <c r="O162"/>
  <c r="O186" s="1"/>
  <c r="R115"/>
  <c r="P29" i="2"/>
  <c r="P31" s="1"/>
  <c r="M161" i="1"/>
  <c r="M223" s="1"/>
  <c r="M222" s="1"/>
  <c r="T38" i="2"/>
  <c r="T39" s="1"/>
  <c r="U36"/>
  <c r="V35"/>
  <c r="Q7"/>
  <c r="Q10" s="1"/>
  <c r="Q14" s="1"/>
  <c r="Q24" s="1"/>
  <c r="R61" i="1"/>
  <c r="R133"/>
  <c r="P68"/>
  <c r="P143"/>
  <c r="Q137"/>
  <c r="Q66"/>
  <c r="Q142" s="1"/>
  <c r="Q139"/>
  <c r="U83"/>
  <c r="U109" s="1"/>
  <c r="T109"/>
  <c r="T136" s="1"/>
  <c r="S35"/>
  <c r="R63"/>
  <c r="O181" s="1"/>
  <c r="U32"/>
  <c r="U39"/>
  <c r="U65" s="1"/>
  <c r="R182" s="1"/>
  <c r="R194" s="1"/>
  <c r="T65"/>
  <c r="Q182" s="1"/>
  <c r="Q194" s="1"/>
  <c r="U60"/>
  <c r="R179" s="1"/>
  <c r="R191" s="1"/>
  <c r="U59"/>
  <c r="U50"/>
  <c r="U49"/>
  <c r="U48"/>
  <c r="U51" s="1"/>
  <c r="R176" s="1"/>
  <c r="T38"/>
  <c r="S56"/>
  <c r="S57" s="1"/>
  <c r="P178" s="1"/>
  <c r="P6" i="4" l="1"/>
  <c r="Q9"/>
  <c r="N206" i="1"/>
  <c r="N205" s="1"/>
  <c r="N163"/>
  <c r="N188"/>
  <c r="N187" s="1"/>
  <c r="P190"/>
  <c r="P175"/>
  <c r="N193"/>
  <c r="N192" s="1"/>
  <c r="N180"/>
  <c r="N171" s="1"/>
  <c r="N226" s="1"/>
  <c r="M160"/>
  <c r="M159" s="1"/>
  <c r="M185"/>
  <c r="M184" s="1"/>
  <c r="M183" s="1"/>
  <c r="O193"/>
  <c r="O192" s="1"/>
  <c r="O180"/>
  <c r="O171" s="1"/>
  <c r="O226" s="1"/>
  <c r="Q189"/>
  <c r="R110"/>
  <c r="R137" s="1"/>
  <c r="U141"/>
  <c r="R139"/>
  <c r="R67"/>
  <c r="R27" i="2" s="1"/>
  <c r="R25" s="1"/>
  <c r="R127" i="1"/>
  <c r="O164"/>
  <c r="O206" s="1"/>
  <c r="O205" s="1"/>
  <c r="P162"/>
  <c r="P186" s="1"/>
  <c r="S115"/>
  <c r="T141"/>
  <c r="S81"/>
  <c r="S98" s="1"/>
  <c r="S97" s="1"/>
  <c r="S100" s="1"/>
  <c r="S110" s="1"/>
  <c r="T89"/>
  <c r="T112" s="1"/>
  <c r="Q29" i="2"/>
  <c r="Q31" s="1"/>
  <c r="N161" i="1"/>
  <c r="U38" i="2"/>
  <c r="U39" s="1"/>
  <c r="E39" s="1"/>
  <c r="V36"/>
  <c r="W35"/>
  <c r="R7"/>
  <c r="U136" i="1"/>
  <c r="Q68"/>
  <c r="Q143"/>
  <c r="S61"/>
  <c r="S133"/>
  <c r="T35"/>
  <c r="S63"/>
  <c r="R66"/>
  <c r="R142" s="1"/>
  <c r="U38"/>
  <c r="U56" s="1"/>
  <c r="U57" s="1"/>
  <c r="R178" s="1"/>
  <c r="T56"/>
  <c r="T57" s="1"/>
  <c r="Q178" s="1"/>
  <c r="Q190" s="1"/>
  <c r="P10" i="4" l="1"/>
  <c r="R9"/>
  <c r="Q6"/>
  <c r="Q10" s="1"/>
  <c r="N225" i="1"/>
  <c r="N227" s="1"/>
  <c r="S116"/>
  <c r="S26" i="2" s="1"/>
  <c r="N223" i="1"/>
  <c r="N222" s="1"/>
  <c r="R175"/>
  <c r="R190"/>
  <c r="Q175"/>
  <c r="N160"/>
  <c r="N159" s="1"/>
  <c r="N185"/>
  <c r="N184" s="1"/>
  <c r="N183" s="1"/>
  <c r="O163"/>
  <c r="O225" s="1"/>
  <c r="O227" s="1"/>
  <c r="O188"/>
  <c r="O187" s="1"/>
  <c r="S67"/>
  <c r="S27" i="2" s="1"/>
  <c r="P181" i="1"/>
  <c r="Q162"/>
  <c r="Q186" s="1"/>
  <c r="T115"/>
  <c r="T81"/>
  <c r="T98" s="1"/>
  <c r="T97" s="1"/>
  <c r="T100" s="1"/>
  <c r="U89"/>
  <c r="U112" s="1"/>
  <c r="S127"/>
  <c r="P164"/>
  <c r="V38" i="2"/>
  <c r="X35"/>
  <c r="W36"/>
  <c r="R10"/>
  <c r="R14" s="1"/>
  <c r="R24" s="1"/>
  <c r="S7"/>
  <c r="T61" i="1"/>
  <c r="T133"/>
  <c r="R68"/>
  <c r="R143"/>
  <c r="S137"/>
  <c r="S66"/>
  <c r="S142" s="1"/>
  <c r="S139"/>
  <c r="U61"/>
  <c r="U133"/>
  <c r="T110"/>
  <c r="T116"/>
  <c r="T26" i="2" s="1"/>
  <c r="U35" i="1"/>
  <c r="T63"/>
  <c r="S9" i="4" l="1"/>
  <c r="R6"/>
  <c r="R10" s="1"/>
  <c r="W9"/>
  <c r="P206" i="1"/>
  <c r="P205" s="1"/>
  <c r="S25" i="2"/>
  <c r="P163" i="1"/>
  <c r="P225" s="1"/>
  <c r="P188"/>
  <c r="P187" s="1"/>
  <c r="P180"/>
  <c r="P171" s="1"/>
  <c r="P226" s="1"/>
  <c r="P193"/>
  <c r="P192" s="1"/>
  <c r="T67"/>
  <c r="T27" i="2" s="1"/>
  <c r="T25" s="1"/>
  <c r="Q181" i="1"/>
  <c r="R162"/>
  <c r="R186" s="1"/>
  <c r="U115"/>
  <c r="T127"/>
  <c r="Q164"/>
  <c r="Q206" s="1"/>
  <c r="Q205" s="1"/>
  <c r="R29" i="2"/>
  <c r="R31" s="1"/>
  <c r="O161" i="1"/>
  <c r="O223" s="1"/>
  <c r="O222" s="1"/>
  <c r="W38" i="2"/>
  <c r="Y35"/>
  <c r="Y36" s="1"/>
  <c r="X36"/>
  <c r="S10"/>
  <c r="S14" s="1"/>
  <c r="S24" s="1"/>
  <c r="T7"/>
  <c r="T137" i="1"/>
  <c r="T66"/>
  <c r="T142" s="1"/>
  <c r="T139"/>
  <c r="S68"/>
  <c r="S143"/>
  <c r="U63"/>
  <c r="R181" s="1"/>
  <c r="U81"/>
  <c r="U98" s="1"/>
  <c r="U97" s="1"/>
  <c r="U100" s="1"/>
  <c r="W6" i="4" l="1"/>
  <c r="T9"/>
  <c r="S6"/>
  <c r="S10" s="1"/>
  <c r="X9"/>
  <c r="P227" i="1"/>
  <c r="C164"/>
  <c r="C188" s="1"/>
  <c r="C187" s="1"/>
  <c r="Q163"/>
  <c r="Q225" s="1"/>
  <c r="Q188"/>
  <c r="Q187" s="1"/>
  <c r="R180"/>
  <c r="R171" s="1"/>
  <c r="R226" s="1"/>
  <c r="R193"/>
  <c r="R192" s="1"/>
  <c r="Q180"/>
  <c r="Q171" s="1"/>
  <c r="Q226" s="1"/>
  <c r="Q193"/>
  <c r="Q192" s="1"/>
  <c r="O160"/>
  <c r="O159" s="1"/>
  <c r="O185"/>
  <c r="O184" s="1"/>
  <c r="O183" s="1"/>
  <c r="U127"/>
  <c r="R164"/>
  <c r="R206" s="1"/>
  <c r="R205" s="1"/>
  <c r="U139"/>
  <c r="U67"/>
  <c r="U27" i="2" s="1"/>
  <c r="S29"/>
  <c r="S31" s="1"/>
  <c r="P161" i="1"/>
  <c r="P223" s="1"/>
  <c r="P222" s="1"/>
  <c r="Y38" i="2"/>
  <c r="X38"/>
  <c r="U7"/>
  <c r="U10" s="1"/>
  <c r="U14" s="1"/>
  <c r="U24" s="1"/>
  <c r="T10"/>
  <c r="T14" s="1"/>
  <c r="T24" s="1"/>
  <c r="T68" i="1"/>
  <c r="T143"/>
  <c r="U66"/>
  <c r="U142" s="1"/>
  <c r="U116"/>
  <c r="U26" i="2" s="1"/>
  <c r="U110" i="1"/>
  <c r="U137" s="1"/>
  <c r="Y9" i="4" l="1"/>
  <c r="X6"/>
  <c r="X10" s="1"/>
  <c r="W10"/>
  <c r="U9"/>
  <c r="T6"/>
  <c r="T10" s="1"/>
  <c r="AD9"/>
  <c r="AD6" s="1"/>
  <c r="AD10" s="1"/>
  <c r="Q227" i="1"/>
  <c r="C171"/>
  <c r="P160"/>
  <c r="P159" s="1"/>
  <c r="P185"/>
  <c r="P184" s="1"/>
  <c r="P183" s="1"/>
  <c r="R163"/>
  <c r="R188"/>
  <c r="R187" s="1"/>
  <c r="U25" i="2"/>
  <c r="U29" s="1"/>
  <c r="U31" s="1"/>
  <c r="U68" i="1"/>
  <c r="R161"/>
  <c r="T29" i="2"/>
  <c r="T31" s="1"/>
  <c r="Q161" i="1"/>
  <c r="Q223" s="1"/>
  <c r="Q222" s="1"/>
  <c r="F24" i="2"/>
  <c r="E24"/>
  <c r="U143" i="1"/>
  <c r="V9" i="4" l="1"/>
  <c r="V6" s="1"/>
  <c r="V10" s="1"/>
  <c r="U6"/>
  <c r="U10" s="1"/>
  <c r="Z9"/>
  <c r="Y6"/>
  <c r="Y10" s="1"/>
  <c r="AE9"/>
  <c r="AE6" s="1"/>
  <c r="AE10" s="1"/>
  <c r="R225" i="1"/>
  <c r="R227" s="1"/>
  <c r="C163"/>
  <c r="R223"/>
  <c r="R222" s="1"/>
  <c r="C161"/>
  <c r="Q160"/>
  <c r="Q159" s="1"/>
  <c r="Q185"/>
  <c r="Q184" s="1"/>
  <c r="Q183" s="1"/>
  <c r="R160"/>
  <c r="R185"/>
  <c r="R184" s="1"/>
  <c r="R183" s="1"/>
  <c r="F25" i="2"/>
  <c r="F29" s="1"/>
  <c r="E25"/>
  <c r="E29"/>
  <c r="C185" i="1" l="1"/>
  <c r="C184" s="1"/>
  <c r="C183" s="1"/>
  <c r="R14" i="3"/>
  <c r="T13"/>
  <c r="T14" s="1"/>
  <c r="AA9" i="4"/>
  <c r="Z6"/>
  <c r="Z10" s="1"/>
  <c r="AF9"/>
  <c r="AF6" s="1"/>
  <c r="AF10" s="1"/>
  <c r="R159" i="1"/>
  <c r="C159" s="1"/>
  <c r="C160"/>
  <c r="E31" i="2"/>
  <c r="F31"/>
  <c r="V15" i="3" l="1"/>
  <c r="T15"/>
  <c r="R15"/>
  <c r="AB9" i="4"/>
  <c r="AA6"/>
  <c r="AA10" s="1"/>
  <c r="AG9"/>
  <c r="AG6" s="1"/>
  <c r="AG10" s="1"/>
  <c r="AC9" l="1"/>
  <c r="AC6" s="1"/>
  <c r="AC10" s="1"/>
  <c r="AB6"/>
  <c r="AB10" s="1"/>
  <c r="AH9"/>
  <c r="AH6" l="1"/>
  <c r="G9"/>
  <c r="AH10" l="1"/>
  <c r="G10" s="1"/>
</calcChain>
</file>

<file path=xl/comments1.xml><?xml version="1.0" encoding="utf-8"?>
<comments xmlns="http://schemas.openxmlformats.org/spreadsheetml/2006/main">
  <authors>
    <author>AHS</author>
    <author>a27034</author>
  </authors>
  <commentList>
    <comment ref="J2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Evoluciona segun I</t>
        </r>
      </text>
    </comment>
    <comment ref="E39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From Avenant 3</t>
        </r>
      </text>
    </comment>
    <comment ref="E40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From Avenant 3
</t>
        </r>
      </text>
    </comment>
    <comment ref="J40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Incluir spread?</t>
        </r>
      </text>
    </comment>
    <comment ref="D47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CE +(Rdegradation x Cs) x Ppgaz x [ 1 + Fsurcout x (Rdefaillance + Recart)]</t>
        </r>
      </text>
    </comment>
    <comment ref="D52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RPFIn x (A x Ppgaz +B)</t>
        </r>
      </text>
    </comment>
    <comment ref="D55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(Rdegradation x Rco2) * (1 - R defaillance) * appel
</t>
        </r>
      </text>
    </comment>
    <comment ref="E59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Avenant 3 V5
0,45 Inlues dans la formule du strike</t>
        </r>
      </text>
    </comment>
    <comment ref="D62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PFEo x RPFIn x (X Wn-1/Wo+ Y In-1/Io)</t>
        </r>
      </text>
    </comment>
    <comment ref="G8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Valor original 40/12 *1,02^3
</t>
        </r>
      </text>
    </comment>
    <comment ref="D96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CE +(Rdegradation x Ppgaz x 2,081)</t>
        </r>
      </text>
    </comment>
    <comment ref="D101" authorId="1">
      <text>
        <r>
          <rPr>
            <b/>
            <sz val="8"/>
            <color indexed="81"/>
            <rFont val="Tahoma"/>
            <family val="2"/>
          </rPr>
          <t>a27034:</t>
        </r>
        <r>
          <rPr>
            <sz val="8"/>
            <color indexed="81"/>
            <rFont val="Tahoma"/>
            <family val="2"/>
          </rPr>
          <t xml:space="preserve">
RPFIn x (A x Ppgaz +B)</t>
        </r>
      </text>
    </comment>
    <comment ref="D104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(Rdegradation x Rco2) * (1 - R defaillance) * appel
</t>
        </r>
      </text>
    </comment>
    <comment ref="E108" authorId="1">
      <text>
        <r>
          <rPr>
            <b/>
            <sz val="8"/>
            <color indexed="10"/>
            <rFont val="Tahoma"/>
            <family val="2"/>
          </rPr>
          <t>a27034:</t>
        </r>
        <r>
          <rPr>
            <sz val="8"/>
            <color indexed="10"/>
            <rFont val="Tahoma"/>
            <family val="2"/>
          </rPr>
          <t xml:space="preserve">
0,45 Inlues dans la formule du strike</t>
        </r>
      </text>
    </comment>
  </commentList>
</comments>
</file>

<file path=xl/sharedStrings.xml><?xml version="1.0" encoding="utf-8"?>
<sst xmlns="http://schemas.openxmlformats.org/spreadsheetml/2006/main" count="475" uniqueCount="218">
  <si>
    <t>v3</t>
  </si>
  <si>
    <t>Start-Up</t>
  </si>
  <si>
    <t>Nb Heure</t>
  </si>
  <si>
    <t>CO2 (€/t)</t>
  </si>
  <si>
    <t>Pgaz (€/MWhPCS)</t>
  </si>
  <si>
    <t>Variables de Founctionement</t>
  </si>
  <si>
    <t>Unités</t>
  </si>
  <si>
    <t>Capacity</t>
  </si>
  <si>
    <t>MW</t>
  </si>
  <si>
    <t>Heures Util.</t>
  </si>
  <si>
    <t>h</t>
  </si>
  <si>
    <t>#Demarrages</t>
  </si>
  <si>
    <t>€/MWh gaz PCS</t>
  </si>
  <si>
    <t>PCO2</t>
  </si>
  <si>
    <t>Mois contrat</t>
  </si>
  <si>
    <t>Cout Liquidité</t>
  </si>
  <si>
    <t>I. Main Contract</t>
  </si>
  <si>
    <t>Parametres</t>
  </si>
  <si>
    <t>Avenant n3 v5</t>
  </si>
  <si>
    <t>CE</t>
  </si>
  <si>
    <t>Rdegradation</t>
  </si>
  <si>
    <t>Cs</t>
  </si>
  <si>
    <t>MWH gasz PCS/MWh elect</t>
  </si>
  <si>
    <t>F sourcout</t>
  </si>
  <si>
    <t>New factor</t>
  </si>
  <si>
    <t>Rdefaillance</t>
  </si>
  <si>
    <t>Recart</t>
  </si>
  <si>
    <r>
      <t>R</t>
    </r>
    <r>
      <rPr>
        <sz val="8"/>
        <rFont val="Arial"/>
        <family val="2"/>
      </rPr>
      <t>PFIn</t>
    </r>
  </si>
  <si>
    <t>A</t>
  </si>
  <si>
    <t>MWh gasz PCS</t>
  </si>
  <si>
    <t>B</t>
  </si>
  <si>
    <t>€</t>
  </si>
  <si>
    <t>PFEo</t>
  </si>
  <si>
    <t>€/year</t>
  </si>
  <si>
    <t>X</t>
  </si>
  <si>
    <t>Y</t>
  </si>
  <si>
    <t>Wn</t>
  </si>
  <si>
    <t>In</t>
  </si>
  <si>
    <t>Soutirage</t>
  </si>
  <si>
    <t>RCO2</t>
  </si>
  <si>
    <t>t CO2/MWH elect</t>
  </si>
  <si>
    <t>Cout Allocation Capacite</t>
  </si>
  <si>
    <t>€/mois</t>
  </si>
  <si>
    <t>Prime liquidité</t>
  </si>
  <si>
    <t>Calcules des paiments de Soregies</t>
  </si>
  <si>
    <t>Pouissance Soregies</t>
  </si>
  <si>
    <t>Energie livré</t>
  </si>
  <si>
    <t>GWh</t>
  </si>
  <si>
    <t>1,- Calcule du Cout Prop. Excercise (Inc Soutirage)</t>
  </si>
  <si>
    <t>PPj</t>
  </si>
  <si>
    <t>€/MWh elec</t>
  </si>
  <si>
    <t>Precio</t>
  </si>
  <si>
    <t>Compl. Indispo</t>
  </si>
  <si>
    <t>Paiment Propotionnel Energie</t>
  </si>
  <si>
    <t>k€</t>
  </si>
  <si>
    <t>2,- Calcule Cout Prop. Demarrages</t>
  </si>
  <si>
    <t>Prix Unitaire Demarrage</t>
  </si>
  <si>
    <t>Paiment Prop. Demarrages</t>
  </si>
  <si>
    <t>3,- CO2 cost</t>
  </si>
  <si>
    <t>Conso CO2</t>
  </si>
  <si>
    <t>tm CO2</t>
  </si>
  <si>
    <t>Paiment CO2</t>
  </si>
  <si>
    <t>4,- Liquidité</t>
  </si>
  <si>
    <t>Conso Gas</t>
  </si>
  <si>
    <t>GWh gaz PCS</t>
  </si>
  <si>
    <t>Paiment Liquidité</t>
  </si>
  <si>
    <t>Total Couts Proportionales</t>
  </si>
  <si>
    <t>4,- Calcule Prime fixe</t>
  </si>
  <si>
    <t>Prime Fixe</t>
  </si>
  <si>
    <t>5,- Couts Fixe Capacité Gaz</t>
  </si>
  <si>
    <t>Paiment Capacité</t>
  </si>
  <si>
    <t>Total Couts Fixes</t>
  </si>
  <si>
    <t>Total Paiment</t>
  </si>
  <si>
    <t>Contrat_Droit de Tirage_v9_20071217_v3</t>
  </si>
  <si>
    <t>Calcules des paiments de SNET</t>
  </si>
  <si>
    <t>Diferences: Main Contract - Call Option</t>
  </si>
  <si>
    <t>1,- Calcule du Cout Prop. Excercise 5 (Inc.Soutirage)</t>
  </si>
  <si>
    <t>1,- Calcule du Cout Prop. Excercise</t>
  </si>
  <si>
    <t>Diferences: B2B - Call Option</t>
  </si>
  <si>
    <t>Production</t>
  </si>
  <si>
    <t>MWh</t>
  </si>
  <si>
    <t>Couts Unitaire (€/MWh)</t>
  </si>
  <si>
    <t>€/MWh elect</t>
  </si>
  <si>
    <t>CDj (cout demarrage)</t>
  </si>
  <si>
    <t>Spread Zeebruge - PEG Nord</t>
  </si>
  <si>
    <t xml:space="preserve">Zeebrudge </t>
  </si>
  <si>
    <t>Ppgaz (PEG NORD)</t>
  </si>
  <si>
    <t>Rendimiento</t>
  </si>
  <si>
    <t>Rendimiento Soregies (Para Referencia)</t>
  </si>
  <si>
    <t>Factor Proportional (transport?)</t>
  </si>
  <si>
    <t>Otros Costes Proporcionales</t>
  </si>
  <si>
    <t>Ponderacion W</t>
  </si>
  <si>
    <t>Poderacion I</t>
  </si>
  <si>
    <t>Valor Actualizado de Otros Costes Prop.</t>
  </si>
  <si>
    <t>CDj (cout demarrage) Actualizado</t>
  </si>
  <si>
    <t>k€/demarrage</t>
  </si>
  <si>
    <t>II. Contrato Snet facturados egun precios Promethee</t>
  </si>
  <si>
    <t>Comparison Soregies - Soregies facturado a precio Promethee</t>
  </si>
  <si>
    <t>Base Soregies (1)/Base Poweo (0,8)</t>
  </si>
  <si>
    <r>
      <t>R</t>
    </r>
    <r>
      <rPr>
        <sz val="8"/>
        <rFont val="Arial"/>
        <family val="2"/>
      </rPr>
      <t>PFIn (Valores standar a Base Soregies o Poweo)</t>
    </r>
  </si>
  <si>
    <t>Proporc and Fixes</t>
  </si>
  <si>
    <t>Soregies-Poweo</t>
  </si>
  <si>
    <r>
      <t xml:space="preserve">PRCccgt </t>
    </r>
    <r>
      <rPr>
        <vertAlign val="subscript"/>
        <sz val="10"/>
        <rFont val="Arial"/>
        <family val="2"/>
      </rPr>
      <t>2009-2012</t>
    </r>
  </si>
  <si>
    <t>M€</t>
  </si>
  <si>
    <t>2009-2012</t>
  </si>
  <si>
    <t>1 shot</t>
  </si>
  <si>
    <r>
      <t xml:space="preserve">PRCccgt </t>
    </r>
    <r>
      <rPr>
        <vertAlign val="subscript"/>
        <sz val="10"/>
        <rFont val="Arial"/>
        <family val="2"/>
      </rPr>
      <t>m/n</t>
    </r>
  </si>
  <si>
    <t>€/mois/kW</t>
  </si>
  <si>
    <t>2013-2024</t>
  </si>
  <si>
    <t>Var.</t>
  </si>
  <si>
    <t>Var</t>
  </si>
  <si>
    <t>over 2008 index</t>
  </si>
  <si>
    <t>Weigth</t>
  </si>
  <si>
    <t>Index</t>
  </si>
  <si>
    <t>var. Work price</t>
  </si>
  <si>
    <t>var. prix</t>
  </si>
  <si>
    <t>Normalizacion</t>
  </si>
  <si>
    <t>PRCccgt B m/n</t>
  </si>
  <si>
    <t>PRCccgt B m/n (actualizado)</t>
  </si>
  <si>
    <t>PRCccgt A m/n</t>
  </si>
  <si>
    <t>PRCccgt A m/n Actualizado</t>
  </si>
  <si>
    <t>PRCccgt A+B m/n Actualizado</t>
  </si>
  <si>
    <t>Soregies</t>
  </si>
  <si>
    <t>(1)</t>
  </si>
  <si>
    <t>(2)</t>
  </si>
  <si>
    <t>(3)</t>
  </si>
  <si>
    <t>Total</t>
  </si>
  <si>
    <t>(5)</t>
  </si>
  <si>
    <t>DV</t>
  </si>
  <si>
    <t>Amort</t>
  </si>
  <si>
    <t>Deuda Res</t>
  </si>
  <si>
    <t>Intereses</t>
  </si>
  <si>
    <t>Ingresos MS</t>
  </si>
  <si>
    <t>Margen</t>
  </si>
  <si>
    <t>Margen Desc</t>
  </si>
  <si>
    <t>Calculos para Soregies</t>
  </si>
  <si>
    <t>Margen Descontado</t>
  </si>
  <si>
    <t>III. Soregies - Promethee 160 MW</t>
  </si>
  <si>
    <t>Pagos para la deuda completa (200 MW)</t>
  </si>
  <si>
    <t xml:space="preserve">4,- Calcule Prime fixe </t>
  </si>
  <si>
    <t>Prime Fixe (PRCccgt B m/n)</t>
  </si>
  <si>
    <t xml:space="preserve">Inbalance of Operation: MS marge = Capacity Paiment from EdF (A) + (Diference Soregies Costs-Promethee costs) - Paiment to Poweo - Paiment to Soregies </t>
  </si>
  <si>
    <t>Revenues EdF (PRCccgt A m/n)</t>
  </si>
  <si>
    <t>Diference Between Promethee and E.On Contracts</t>
  </si>
  <si>
    <t>Revenues EdF (PRCccgt B m/n + Variables)</t>
  </si>
  <si>
    <t>Costs E.On (all costs)</t>
  </si>
  <si>
    <t>(4)=(1)+(2)+(3)</t>
  </si>
  <si>
    <t>Paiment to Poweo (assignation)</t>
  </si>
  <si>
    <t>Paiment to Soregies (assignation)</t>
  </si>
  <si>
    <t>Margin MS</t>
  </si>
  <si>
    <t>Margin before Soregies paiment</t>
  </si>
  <si>
    <t>(6)=(4)+(5)</t>
  </si>
  <si>
    <t>Years</t>
  </si>
  <si>
    <t>Calculation Soregies Profit</t>
  </si>
  <si>
    <t>Invest</t>
  </si>
  <si>
    <t>Revenues from EdF (Promethee Contract thermal leg)</t>
  </si>
  <si>
    <t>Capacity Paiment</t>
  </si>
  <si>
    <t>Capacity Paiment indexed on 2%</t>
  </si>
  <si>
    <t>Capacity Paiment indexed on W&amp;I</t>
  </si>
  <si>
    <t>Starts ups</t>
  </si>
  <si>
    <t>Fuel</t>
  </si>
  <si>
    <t>CO2</t>
  </si>
  <si>
    <t>Autres</t>
  </si>
  <si>
    <t>Variable paiments</t>
  </si>
  <si>
    <t>Costs From E.On contract (assignation of Soregies Contract)</t>
  </si>
  <si>
    <t>Fix Costs</t>
  </si>
  <si>
    <t>"Prime fixe" O&amp;M</t>
  </si>
  <si>
    <t>Gas capacity paiment</t>
  </si>
  <si>
    <t>Others</t>
  </si>
  <si>
    <t>Margin between both contracts (EdF - E.On)</t>
  </si>
  <si>
    <t>PV</t>
  </si>
  <si>
    <t>O&amp;M</t>
  </si>
  <si>
    <t>Variable Costs</t>
  </si>
  <si>
    <t>Promethee</t>
  </si>
  <si>
    <t>Present Value 2011</t>
  </si>
  <si>
    <t>Present Value 2013</t>
  </si>
  <si>
    <t>Capex</t>
  </si>
  <si>
    <t>2014 Values</t>
  </si>
  <si>
    <t>m€</t>
  </si>
  <si>
    <t>Return Tax</t>
  </si>
  <si>
    <t>year</t>
  </si>
  <si>
    <t>Nomalised Invest</t>
  </si>
  <si>
    <t>Reference Inv (400 MW)</t>
  </si>
  <si>
    <t>Yearly paiment  (400 MW)</t>
  </si>
  <si>
    <t>Ref. Costs (1)</t>
  </si>
  <si>
    <t>(1) E.Huchet 2011 *1,4</t>
  </si>
  <si>
    <t>Low Ref.</t>
  </si>
  <si>
    <t>Med. Ref</t>
  </si>
  <si>
    <t>High Ref.</t>
  </si>
  <si>
    <t>Unavailaibility</t>
  </si>
  <si>
    <t>Variable paiments Promethee</t>
  </si>
  <si>
    <t xml:space="preserve">Variable paiments Soregies </t>
  </si>
  <si>
    <t xml:space="preserve">Fix Capacity Paiment </t>
  </si>
  <si>
    <t>Unavalaibility Cost</t>
  </si>
  <si>
    <t>Valores para Grafico</t>
  </si>
  <si>
    <t>Promethee Capex</t>
  </si>
  <si>
    <t>Promethee O&amp;M</t>
  </si>
  <si>
    <t>Promethee Variable Costs</t>
  </si>
  <si>
    <t>Costs From Soregies Contract</t>
  </si>
  <si>
    <t>Difference</t>
  </si>
  <si>
    <t>Investissement</t>
  </si>
  <si>
    <t>Values</t>
  </si>
  <si>
    <t>Return Rate</t>
  </si>
  <si>
    <t>Unavalaibility</t>
  </si>
  <si>
    <t>Index Payment</t>
  </si>
  <si>
    <t>Interest</t>
  </si>
  <si>
    <t>Net Asset</t>
  </si>
  <si>
    <t>MW CCGT</t>
  </si>
  <si>
    <t>Capacity Payment</t>
  </si>
  <si>
    <t>Unavailability Payment</t>
  </si>
  <si>
    <t>PV 2013-2024</t>
  </si>
  <si>
    <t>I</t>
  </si>
  <si>
    <t>W</t>
  </si>
  <si>
    <t>O&amp;M Costs</t>
  </si>
  <si>
    <t>Concept</t>
  </si>
  <si>
    <t>Depreciation</t>
  </si>
  <si>
    <t>Diff with Mid. Ref</t>
  </si>
  <si>
    <t>2013-2024 Value</t>
  </si>
</sst>
</file>

<file path=xl/styles.xml><?xml version="1.0" encoding="utf-8"?>
<styleSheet xmlns="http://schemas.openxmlformats.org/spreadsheetml/2006/main">
  <numFmts count="9">
    <numFmt numFmtId="8" formatCode="#,##0.00\ &quot;€&quot;;[Red]\-#,##0.00\ &quot;€&quot;"/>
    <numFmt numFmtId="164" formatCode="0.000"/>
    <numFmt numFmtId="165" formatCode="#,##0.0"/>
    <numFmt numFmtId="166" formatCode="#,##0.000"/>
    <numFmt numFmtId="167" formatCode="0.0"/>
    <numFmt numFmtId="168" formatCode="0.00000"/>
    <numFmt numFmtId="169" formatCode="0.0%"/>
    <numFmt numFmtId="170" formatCode="0.0000"/>
    <numFmt numFmtId="173" formatCode="#,##0.0_ ;[Red]\-#,##0.0\ 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10"/>
      <name val="Tahoma"/>
      <family val="2"/>
    </font>
    <font>
      <sz val="8"/>
      <color indexed="10"/>
      <name val="Tahoma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vertAlign val="subscript"/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3" tint="0.5999938962981048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6" fillId="0" borderId="0" xfId="0" applyFont="1" applyBorder="1"/>
    <xf numFmtId="0" fontId="6" fillId="0" borderId="10" xfId="0" applyFont="1" applyBorder="1"/>
    <xf numFmtId="2" fontId="6" fillId="0" borderId="0" xfId="0" applyNumberFormat="1" applyFon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6" xfId="0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0" xfId="0" applyBorder="1" applyAlignment="1">
      <alignment horizontal="left"/>
    </xf>
    <xf numFmtId="0" fontId="7" fillId="2" borderId="0" xfId="0" applyFont="1" applyFill="1"/>
    <xf numFmtId="0" fontId="8" fillId="0" borderId="5" xfId="0" applyFont="1" applyBorder="1" applyAlignment="1">
      <alignment horizontal="center"/>
    </xf>
    <xf numFmtId="10" fontId="6" fillId="0" borderId="0" xfId="1" applyNumberFormat="1" applyFont="1" applyBorder="1"/>
    <xf numFmtId="10" fontId="6" fillId="0" borderId="10" xfId="1" applyNumberFormat="1" applyFont="1" applyBorder="1"/>
    <xf numFmtId="0" fontId="8" fillId="0" borderId="0" xfId="0" applyFont="1"/>
    <xf numFmtId="0" fontId="8" fillId="0" borderId="9" xfId="0" applyFont="1" applyBorder="1" applyAlignment="1">
      <alignment horizontal="center"/>
    </xf>
    <xf numFmtId="9" fontId="6" fillId="0" borderId="0" xfId="0" applyNumberFormat="1" applyFont="1" applyBorder="1"/>
    <xf numFmtId="164" fontId="0" fillId="0" borderId="12" xfId="0" applyNumberFormat="1" applyFill="1" applyBorder="1" applyAlignment="1">
      <alignment horizontal="center"/>
    </xf>
    <xf numFmtId="10" fontId="6" fillId="0" borderId="13" xfId="1" applyNumberFormat="1" applyFont="1" applyBorder="1"/>
    <xf numFmtId="10" fontId="6" fillId="0" borderId="14" xfId="1" applyNumberFormat="1" applyFont="1" applyBorder="1"/>
    <xf numFmtId="0" fontId="0" fillId="0" borderId="4" xfId="0" applyFill="1" applyBorder="1"/>
    <xf numFmtId="3" fontId="0" fillId="0" borderId="6" xfId="0" applyNumberFormat="1" applyBorder="1"/>
    <xf numFmtId="0" fontId="0" fillId="0" borderId="8" xfId="0" applyFill="1" applyBorder="1"/>
    <xf numFmtId="10" fontId="0" fillId="0" borderId="0" xfId="1" applyNumberFormat="1" applyFont="1" applyBorder="1"/>
    <xf numFmtId="10" fontId="0" fillId="0" borderId="10" xfId="1" applyNumberFormat="1" applyFont="1" applyBorder="1"/>
    <xf numFmtId="166" fontId="9" fillId="0" borderId="0" xfId="0" applyNumberFormat="1" applyFont="1" applyBorder="1"/>
    <xf numFmtId="166" fontId="9" fillId="0" borderId="10" xfId="0" applyNumberFormat="1" applyFont="1" applyBorder="1"/>
    <xf numFmtId="0" fontId="0" fillId="0" borderId="11" xfId="0" applyFill="1" applyBorder="1"/>
    <xf numFmtId="0" fontId="6" fillId="0" borderId="12" xfId="0" applyFont="1" applyBorder="1" applyAlignment="1">
      <alignment horizontal="center"/>
    </xf>
    <xf numFmtId="164" fontId="9" fillId="0" borderId="13" xfId="0" applyNumberFormat="1" applyFont="1" applyBorder="1"/>
    <xf numFmtId="164" fontId="9" fillId="0" borderId="14" xfId="0" applyNumberFormat="1" applyFont="1" applyBorder="1"/>
    <xf numFmtId="0" fontId="0" fillId="0" borderId="15" xfId="0" applyFill="1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5" xfId="0" applyBorder="1"/>
    <xf numFmtId="0" fontId="0" fillId="0" borderId="12" xfId="0" applyBorder="1"/>
    <xf numFmtId="0" fontId="0" fillId="0" borderId="4" xfId="0" applyBorder="1" applyAlignment="1">
      <alignment horizontal="left" indent="2"/>
    </xf>
    <xf numFmtId="2" fontId="0" fillId="0" borderId="0" xfId="0" applyNumberFormat="1" applyBorder="1"/>
    <xf numFmtId="0" fontId="8" fillId="0" borderId="8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indent="1"/>
    </xf>
    <xf numFmtId="2" fontId="8" fillId="0" borderId="0" xfId="0" applyNumberFormat="1" applyFont="1" applyBorder="1"/>
    <xf numFmtId="0" fontId="8" fillId="0" borderId="0" xfId="0" applyFont="1" applyBorder="1"/>
    <xf numFmtId="0" fontId="8" fillId="0" borderId="10" xfId="0" applyFont="1" applyBorder="1"/>
    <xf numFmtId="0" fontId="5" fillId="0" borderId="0" xfId="0" applyFont="1"/>
    <xf numFmtId="0" fontId="5" fillId="0" borderId="8" xfId="0" applyFont="1" applyBorder="1"/>
    <xf numFmtId="0" fontId="5" fillId="0" borderId="11" xfId="0" applyFont="1" applyBorder="1"/>
    <xf numFmtId="0" fontId="5" fillId="0" borderId="13" xfId="0" applyFont="1" applyBorder="1"/>
    <xf numFmtId="0" fontId="5" fillId="0" borderId="12" xfId="0" applyFont="1" applyBorder="1" applyAlignment="1">
      <alignment horizontal="center"/>
    </xf>
    <xf numFmtId="165" fontId="5" fillId="0" borderId="13" xfId="0" applyNumberFormat="1" applyFont="1" applyBorder="1"/>
    <xf numFmtId="0" fontId="5" fillId="0" borderId="14" xfId="0" applyFont="1" applyBorder="1"/>
    <xf numFmtId="0" fontId="5" fillId="0" borderId="10" xfId="0" applyFont="1" applyBorder="1"/>
    <xf numFmtId="0" fontId="5" fillId="0" borderId="0" xfId="0" applyFont="1" applyBorder="1"/>
    <xf numFmtId="167" fontId="0" fillId="0" borderId="0" xfId="0" applyNumberFormat="1" applyBorder="1"/>
    <xf numFmtId="0" fontId="0" fillId="0" borderId="8" xfId="0" applyBorder="1" applyAlignment="1">
      <alignment horizontal="left" indent="2"/>
    </xf>
    <xf numFmtId="0" fontId="5" fillId="0" borderId="9" xfId="0" applyFont="1" applyBorder="1" applyAlignment="1">
      <alignment horizontal="center"/>
    </xf>
    <xf numFmtId="165" fontId="5" fillId="0" borderId="0" xfId="0" applyNumberFormat="1" applyFont="1" applyBorder="1"/>
    <xf numFmtId="0" fontId="5" fillId="0" borderId="15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165" fontId="5" fillId="0" borderId="2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68" fontId="0" fillId="0" borderId="0" xfId="0" applyNumberFormat="1" applyBorder="1"/>
    <xf numFmtId="168" fontId="0" fillId="0" borderId="10" xfId="0" applyNumberFormat="1" applyBorder="1"/>
    <xf numFmtId="2" fontId="0" fillId="0" borderId="8" xfId="0" applyNumberFormat="1" applyBorder="1"/>
    <xf numFmtId="2" fontId="8" fillId="0" borderId="8" xfId="0" applyNumberFormat="1" applyFont="1" applyBorder="1"/>
    <xf numFmtId="165" fontId="5" fillId="0" borderId="11" xfId="0" applyNumberFormat="1" applyFont="1" applyBorder="1"/>
    <xf numFmtId="167" fontId="0" fillId="0" borderId="8" xfId="0" applyNumberFormat="1" applyBorder="1"/>
    <xf numFmtId="165" fontId="5" fillId="0" borderId="8" xfId="0" applyNumberFormat="1" applyFont="1" applyBorder="1"/>
    <xf numFmtId="165" fontId="10" fillId="0" borderId="15" xfId="0" applyNumberFormat="1" applyFont="1" applyBorder="1"/>
    <xf numFmtId="165" fontId="10" fillId="0" borderId="2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5" fontId="5" fillId="0" borderId="15" xfId="0" applyNumberFormat="1" applyFont="1" applyBorder="1"/>
    <xf numFmtId="3" fontId="6" fillId="0" borderId="0" xfId="0" applyNumberFormat="1" applyFont="1" applyBorder="1"/>
    <xf numFmtId="4" fontId="7" fillId="2" borderId="2" xfId="0" applyNumberFormat="1" applyFont="1" applyFill="1" applyBorder="1"/>
    <xf numFmtId="165" fontId="0" fillId="0" borderId="0" xfId="0" applyNumberFormat="1" applyBorder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0" fontId="0" fillId="4" borderId="2" xfId="0" applyFill="1" applyBorder="1" applyAlignment="1">
      <alignment horizontal="center"/>
    </xf>
    <xf numFmtId="0" fontId="6" fillId="4" borderId="6" xfId="0" applyFont="1" applyFill="1" applyBorder="1"/>
    <xf numFmtId="0" fontId="6" fillId="4" borderId="0" xfId="0" applyFont="1" applyFill="1" applyBorder="1"/>
    <xf numFmtId="2" fontId="6" fillId="4" borderId="0" xfId="0" applyNumberFormat="1" applyFont="1" applyFill="1" applyBorder="1"/>
    <xf numFmtId="0" fontId="6" fillId="4" borderId="13" xfId="0" applyFont="1" applyFill="1" applyBorder="1"/>
    <xf numFmtId="0" fontId="6" fillId="4" borderId="15" xfId="0" applyFont="1" applyFill="1" applyBorder="1"/>
    <xf numFmtId="0" fontId="6" fillId="4" borderId="2" xfId="0" applyFont="1" applyFill="1" applyBorder="1"/>
    <xf numFmtId="10" fontId="6" fillId="4" borderId="0" xfId="1" applyNumberFormat="1" applyFont="1" applyFill="1" applyBorder="1"/>
    <xf numFmtId="0" fontId="0" fillId="4" borderId="0" xfId="0" applyFill="1" applyBorder="1"/>
    <xf numFmtId="9" fontId="6" fillId="4" borderId="0" xfId="0" applyNumberFormat="1" applyFont="1" applyFill="1" applyBorder="1"/>
    <xf numFmtId="10" fontId="6" fillId="4" borderId="0" xfId="0" applyNumberFormat="1" applyFont="1" applyFill="1" applyBorder="1"/>
    <xf numFmtId="165" fontId="6" fillId="4" borderId="6" xfId="0" applyNumberFormat="1" applyFont="1" applyFill="1" applyBorder="1"/>
    <xf numFmtId="0" fontId="0" fillId="4" borderId="6" xfId="0" applyFill="1" applyBorder="1"/>
    <xf numFmtId="3" fontId="6" fillId="4" borderId="13" xfId="0" applyNumberFormat="1" applyFont="1" applyFill="1" applyBorder="1"/>
    <xf numFmtId="0" fontId="0" fillId="4" borderId="13" xfId="0" applyFill="1" applyBorder="1"/>
    <xf numFmtId="3" fontId="6" fillId="4" borderId="6" xfId="0" applyNumberFormat="1" applyFont="1" applyFill="1" applyBorder="1"/>
    <xf numFmtId="3" fontId="0" fillId="4" borderId="6" xfId="0" applyNumberFormat="1" applyFill="1" applyBorder="1"/>
    <xf numFmtId="10" fontId="0" fillId="4" borderId="0" xfId="1" applyNumberFormat="1" applyFont="1" applyFill="1" applyBorder="1"/>
    <xf numFmtId="166" fontId="9" fillId="4" borderId="0" xfId="0" applyNumberFormat="1" applyFont="1" applyFill="1" applyBorder="1"/>
    <xf numFmtId="166" fontId="6" fillId="4" borderId="13" xfId="0" applyNumberFormat="1" applyFont="1" applyFill="1" applyBorder="1"/>
    <xf numFmtId="164" fontId="9" fillId="4" borderId="13" xfId="0" applyNumberFormat="1" applyFont="1" applyFill="1" applyBorder="1"/>
    <xf numFmtId="3" fontId="6" fillId="4" borderId="2" xfId="0" applyNumberFormat="1" applyFont="1" applyFill="1" applyBorder="1"/>
    <xf numFmtId="3" fontId="0" fillId="4" borderId="2" xfId="0" applyNumberFormat="1" applyFill="1" applyBorder="1"/>
    <xf numFmtId="4" fontId="6" fillId="4" borderId="2" xfId="0" applyNumberFormat="1" applyFont="1" applyFill="1" applyBorder="1"/>
    <xf numFmtId="4" fontId="0" fillId="4" borderId="2" xfId="0" applyNumberFormat="1" applyFill="1" applyBorder="1"/>
    <xf numFmtId="2" fontId="0" fillId="4" borderId="0" xfId="0" applyNumberFormat="1" applyFill="1" applyBorder="1"/>
    <xf numFmtId="2" fontId="8" fillId="4" borderId="0" xfId="0" applyNumberFormat="1" applyFont="1" applyFill="1" applyBorder="1"/>
    <xf numFmtId="165" fontId="5" fillId="4" borderId="13" xfId="0" applyNumberFormat="1" applyFont="1" applyFill="1" applyBorder="1"/>
    <xf numFmtId="167" fontId="0" fillId="4" borderId="0" xfId="0" applyNumberFormat="1" applyFill="1" applyBorder="1"/>
    <xf numFmtId="165" fontId="5" fillId="4" borderId="0" xfId="0" applyNumberFormat="1" applyFont="1" applyFill="1" applyBorder="1"/>
    <xf numFmtId="165" fontId="5" fillId="4" borderId="2" xfId="0" applyNumberFormat="1" applyFont="1" applyFill="1" applyBorder="1"/>
    <xf numFmtId="0" fontId="7" fillId="2" borderId="13" xfId="0" applyFont="1" applyFill="1" applyBorder="1"/>
    <xf numFmtId="169" fontId="0" fillId="4" borderId="0" xfId="1" applyNumberFormat="1" applyFont="1" applyFill="1" applyBorder="1"/>
    <xf numFmtId="169" fontId="0" fillId="0" borderId="0" xfId="1" applyNumberFormat="1" applyFont="1" applyBorder="1"/>
    <xf numFmtId="164" fontId="16" fillId="0" borderId="13" xfId="0" applyNumberFormat="1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0" fontId="15" fillId="0" borderId="6" xfId="0" applyFont="1" applyBorder="1"/>
    <xf numFmtId="3" fontId="6" fillId="4" borderId="0" xfId="0" applyNumberFormat="1" applyFont="1" applyFill="1" applyBorder="1"/>
    <xf numFmtId="0" fontId="2" fillId="0" borderId="2" xfId="0" applyFont="1" applyBorder="1"/>
    <xf numFmtId="2" fontId="15" fillId="0" borderId="0" xfId="0" applyNumberFormat="1" applyFont="1" applyBorder="1"/>
    <xf numFmtId="2" fontId="0" fillId="3" borderId="0" xfId="0" applyNumberFormat="1" applyFill="1" applyBorder="1"/>
    <xf numFmtId="2" fontId="8" fillId="3" borderId="0" xfId="0" applyNumberFormat="1" applyFont="1" applyFill="1" applyBorder="1"/>
    <xf numFmtId="165" fontId="5" fillId="3" borderId="13" xfId="0" applyNumberFormat="1" applyFont="1" applyFill="1" applyBorder="1"/>
    <xf numFmtId="0" fontId="0" fillId="3" borderId="6" xfId="0" applyFill="1" applyBorder="1"/>
    <xf numFmtId="167" fontId="0" fillId="3" borderId="0" xfId="0" applyNumberFormat="1" applyFill="1" applyBorder="1"/>
    <xf numFmtId="165" fontId="5" fillId="3" borderId="0" xfId="0" applyNumberFormat="1" applyFont="1" applyFill="1" applyBorder="1"/>
    <xf numFmtId="165" fontId="5" fillId="3" borderId="2" xfId="0" applyNumberFormat="1" applyFont="1" applyFill="1" applyBorder="1"/>
    <xf numFmtId="0" fontId="0" fillId="3" borderId="0" xfId="0" applyFill="1" applyBorder="1"/>
    <xf numFmtId="3" fontId="9" fillId="4" borderId="0" xfId="0" applyNumberFormat="1" applyFont="1" applyFill="1" applyBorder="1"/>
    <xf numFmtId="3" fontId="9" fillId="0" borderId="0" xfId="0" applyNumberFormat="1" applyFont="1" applyBorder="1"/>
    <xf numFmtId="164" fontId="0" fillId="0" borderId="13" xfId="0" applyNumberFormat="1" applyBorder="1"/>
    <xf numFmtId="0" fontId="19" fillId="0" borderId="13" xfId="0" applyFont="1" applyBorder="1"/>
    <xf numFmtId="0" fontId="19" fillId="0" borderId="13" xfId="0" applyFont="1" applyBorder="1" applyAlignment="1">
      <alignment horizontal="center"/>
    </xf>
    <xf numFmtId="2" fontId="19" fillId="0" borderId="13" xfId="0" applyNumberFormat="1" applyFont="1" applyBorder="1"/>
    <xf numFmtId="4" fontId="0" fillId="0" borderId="0" xfId="0" applyNumberFormat="1" applyBorder="1"/>
    <xf numFmtId="169" fontId="9" fillId="4" borderId="0" xfId="1" applyNumberFormat="1" applyFont="1" applyFill="1" applyBorder="1"/>
    <xf numFmtId="170" fontId="6" fillId="4" borderId="0" xfId="0" applyNumberFormat="1" applyFont="1" applyFill="1" applyBorder="1"/>
    <xf numFmtId="170" fontId="0" fillId="4" borderId="0" xfId="0" applyNumberFormat="1" applyFill="1" applyBorder="1"/>
    <xf numFmtId="170" fontId="0" fillId="0" borderId="0" xfId="0" applyNumberFormat="1" applyBorder="1"/>
    <xf numFmtId="10" fontId="9" fillId="0" borderId="6" xfId="1" applyNumberFormat="1" applyFont="1" applyBorder="1"/>
    <xf numFmtId="2" fontId="9" fillId="4" borderId="6" xfId="0" applyNumberFormat="1" applyFont="1" applyFill="1" applyBorder="1"/>
    <xf numFmtId="2" fontId="9" fillId="0" borderId="6" xfId="0" applyNumberFormat="1" applyFont="1" applyBorder="1"/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3" fontId="0" fillId="0" borderId="0" xfId="0" applyNumberFormat="1" applyBorder="1"/>
    <xf numFmtId="3" fontId="5" fillId="0" borderId="13" xfId="0" applyNumberFormat="1" applyFont="1" applyBorder="1"/>
    <xf numFmtId="4" fontId="20" fillId="3" borderId="6" xfId="0" applyNumberFormat="1" applyFont="1" applyFill="1" applyBorder="1"/>
    <xf numFmtId="4" fontId="21" fillId="3" borderId="6" xfId="0" applyNumberFormat="1" applyFont="1" applyFill="1" applyBorder="1" applyAlignment="1">
      <alignment horizontal="right"/>
    </xf>
    <xf numFmtId="4" fontId="0" fillId="0" borderId="6" xfId="0" applyNumberFormat="1" applyBorder="1"/>
    <xf numFmtId="4" fontId="0" fillId="0" borderId="13" xfId="0" applyNumberFormat="1" applyBorder="1" applyAlignment="1">
      <alignment horizontal="right"/>
    </xf>
    <xf numFmtId="4" fontId="0" fillId="0" borderId="13" xfId="0" applyNumberFormat="1" applyBorder="1"/>
    <xf numFmtId="165" fontId="6" fillId="0" borderId="0" xfId="0" applyNumberFormat="1" applyFont="1" applyBorder="1"/>
    <xf numFmtId="0" fontId="3" fillId="5" borderId="0" xfId="0" applyFont="1" applyFill="1" applyAlignment="1">
      <alignment horizontal="center"/>
    </xf>
    <xf numFmtId="0" fontId="0" fillId="0" borderId="15" xfId="0" applyBorder="1"/>
    <xf numFmtId="10" fontId="9" fillId="4" borderId="2" xfId="1" applyNumberFormat="1" applyFont="1" applyFill="1" applyBorder="1"/>
    <xf numFmtId="10" fontId="9" fillId="0" borderId="2" xfId="1" applyNumberFormat="1" applyFont="1" applyBorder="1"/>
    <xf numFmtId="4" fontId="0" fillId="0" borderId="0" xfId="0" applyNumberFormat="1"/>
    <xf numFmtId="4" fontId="6" fillId="0" borderId="6" xfId="0" applyNumberFormat="1" applyFont="1" applyBorder="1"/>
    <xf numFmtId="0" fontId="2" fillId="0" borderId="6" xfId="0" applyFont="1" applyBorder="1"/>
    <xf numFmtId="166" fontId="0" fillId="0" borderId="0" xfId="0" applyNumberFormat="1"/>
    <xf numFmtId="165" fontId="0" fillId="0" borderId="0" xfId="0" applyNumberFormat="1"/>
    <xf numFmtId="9" fontId="6" fillId="0" borderId="10" xfId="0" applyNumberFormat="1" applyFont="1" applyBorder="1"/>
    <xf numFmtId="164" fontId="0" fillId="0" borderId="14" xfId="0" applyNumberFormat="1" applyBorder="1"/>
    <xf numFmtId="164" fontId="0" fillId="0" borderId="6" xfId="0" applyNumberFormat="1" applyBorder="1"/>
    <xf numFmtId="166" fontId="0" fillId="0" borderId="13" xfId="0" applyNumberFormat="1" applyBorder="1"/>
    <xf numFmtId="166" fontId="0" fillId="0" borderId="14" xfId="0" applyNumberFormat="1" applyBorder="1"/>
    <xf numFmtId="3" fontId="0" fillId="0" borderId="7" xfId="0" applyNumberFormat="1" applyBorder="1"/>
    <xf numFmtId="167" fontId="0" fillId="0" borderId="0" xfId="0" applyNumberFormat="1"/>
    <xf numFmtId="0" fontId="0" fillId="4" borderId="15" xfId="0" applyFill="1" applyBorder="1" applyAlignment="1">
      <alignment horizontal="center"/>
    </xf>
    <xf numFmtId="165" fontId="0" fillId="0" borderId="8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9" fontId="0" fillId="0" borderId="0" xfId="0" applyNumberFormat="1"/>
    <xf numFmtId="8" fontId="0" fillId="0" borderId="0" xfId="0" applyNumberFormat="1"/>
    <xf numFmtId="165" fontId="0" fillId="0" borderId="2" xfId="0" applyNumberFormat="1" applyBorder="1"/>
    <xf numFmtId="165" fontId="0" fillId="0" borderId="3" xfId="0" applyNumberFormat="1" applyBorder="1"/>
    <xf numFmtId="165" fontId="21" fillId="0" borderId="0" xfId="0" applyNumberFormat="1" applyFont="1" applyBorder="1"/>
    <xf numFmtId="165" fontId="21" fillId="0" borderId="10" xfId="0" applyNumberFormat="1" applyFont="1" applyBorder="1"/>
    <xf numFmtId="0" fontId="23" fillId="0" borderId="0" xfId="0" quotePrefix="1" applyFont="1" applyAlignment="1">
      <alignment horizontal="center"/>
    </xf>
    <xf numFmtId="10" fontId="0" fillId="0" borderId="0" xfId="0" applyNumberFormat="1"/>
    <xf numFmtId="165" fontId="21" fillId="0" borderId="0" xfId="0" applyNumberFormat="1" applyFont="1"/>
    <xf numFmtId="170" fontId="2" fillId="0" borderId="6" xfId="0" applyNumberFormat="1" applyFont="1" applyBorder="1" applyAlignment="1">
      <alignment horizontal="right"/>
    </xf>
    <xf numFmtId="170" fontId="0" fillId="0" borderId="6" xfId="0" applyNumberFormat="1" applyBorder="1" applyAlignment="1">
      <alignment horizontal="right"/>
    </xf>
    <xf numFmtId="0" fontId="0" fillId="5" borderId="0" xfId="0" applyFill="1"/>
    <xf numFmtId="0" fontId="19" fillId="0" borderId="9" xfId="0" applyFont="1" applyBorder="1" applyAlignment="1">
      <alignment horizontal="center"/>
    </xf>
    <xf numFmtId="0" fontId="19" fillId="0" borderId="0" xfId="0" applyFont="1" applyBorder="1"/>
    <xf numFmtId="165" fontId="19" fillId="0" borderId="0" xfId="0" applyNumberFormat="1" applyFont="1" applyBorder="1"/>
    <xf numFmtId="0" fontId="19" fillId="0" borderId="8" xfId="0" applyFont="1" applyBorder="1" applyAlignment="1">
      <alignment horizontal="left" indent="1"/>
    </xf>
    <xf numFmtId="165" fontId="0" fillId="4" borderId="0" xfId="0" applyNumberFormat="1" applyFill="1" applyBorder="1"/>
    <xf numFmtId="165" fontId="0" fillId="4" borderId="6" xfId="0" applyNumberFormat="1" applyFill="1" applyBorder="1"/>
    <xf numFmtId="1" fontId="19" fillId="4" borderId="8" xfId="0" applyNumberFormat="1" applyFont="1" applyFill="1" applyBorder="1"/>
    <xf numFmtId="165" fontId="19" fillId="4" borderId="0" xfId="0" applyNumberFormat="1" applyFont="1" applyFill="1" applyBorder="1"/>
    <xf numFmtId="1" fontId="0" fillId="4" borderId="8" xfId="0" applyNumberFormat="1" applyFill="1" applyBorder="1"/>
    <xf numFmtId="165" fontId="0" fillId="4" borderId="13" xfId="0" applyNumberFormat="1" applyFill="1" applyBorder="1"/>
    <xf numFmtId="165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165" fontId="0" fillId="4" borderId="10" xfId="0" applyNumberFormat="1" applyFill="1" applyBorder="1"/>
    <xf numFmtId="165" fontId="0" fillId="4" borderId="7" xfId="0" applyNumberFormat="1" applyFill="1" applyBorder="1"/>
    <xf numFmtId="165" fontId="19" fillId="4" borderId="10" xfId="0" applyNumberFormat="1" applyFont="1" applyFill="1" applyBorder="1"/>
    <xf numFmtId="165" fontId="21" fillId="4" borderId="10" xfId="0" applyNumberFormat="1" applyFont="1" applyFill="1" applyBorder="1"/>
    <xf numFmtId="165" fontId="0" fillId="4" borderId="14" xfId="0" applyNumberFormat="1" applyFill="1" applyBorder="1"/>
    <xf numFmtId="165" fontId="0" fillId="4" borderId="3" xfId="0" applyNumberFormat="1" applyFill="1" applyBorder="1"/>
    <xf numFmtId="165" fontId="0" fillId="0" borderId="5" xfId="0" applyNumberFormat="1" applyBorder="1"/>
    <xf numFmtId="165" fontId="19" fillId="0" borderId="9" xfId="0" applyNumberFormat="1" applyFont="1" applyBorder="1"/>
    <xf numFmtId="165" fontId="0" fillId="0" borderId="9" xfId="0" applyNumberFormat="1" applyBorder="1"/>
    <xf numFmtId="165" fontId="0" fillId="0" borderId="12" xfId="0" applyNumberFormat="1" applyBorder="1"/>
    <xf numFmtId="0" fontId="6" fillId="4" borderId="3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11" xfId="0" applyFill="1" applyBorder="1"/>
    <xf numFmtId="165" fontId="19" fillId="0" borderId="10" xfId="0" applyNumberFormat="1" applyFont="1" applyBorder="1"/>
    <xf numFmtId="0" fontId="0" fillId="0" borderId="17" xfId="0" applyBorder="1"/>
    <xf numFmtId="0" fontId="0" fillId="0" borderId="18" xfId="0" applyBorder="1"/>
    <xf numFmtId="165" fontId="0" fillId="0" borderId="18" xfId="0" applyNumberFormat="1" applyBorder="1"/>
    <xf numFmtId="165" fontId="0" fillId="4" borderId="18" xfId="0" applyNumberFormat="1" applyFill="1" applyBorder="1"/>
    <xf numFmtId="165" fontId="0" fillId="0" borderId="19" xfId="0" applyNumberFormat="1" applyBorder="1"/>
    <xf numFmtId="165" fontId="0" fillId="0" borderId="4" xfId="0" applyNumberFormat="1" applyBorder="1"/>
    <xf numFmtId="165" fontId="19" fillId="0" borderId="8" xfId="0" applyNumberFormat="1" applyFont="1" applyBorder="1"/>
    <xf numFmtId="165" fontId="0" fillId="0" borderId="17" xfId="0" applyNumberFormat="1" applyBorder="1"/>
    <xf numFmtId="165" fontId="0" fillId="0" borderId="11" xfId="0" applyNumberFormat="1" applyBorder="1"/>
    <xf numFmtId="0" fontId="0" fillId="0" borderId="16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6" fontId="0" fillId="0" borderId="2" xfId="0" applyNumberFormat="1" applyBorder="1"/>
    <xf numFmtId="9" fontId="24" fillId="0" borderId="4" xfId="0" applyNumberFormat="1" applyFont="1" applyBorder="1" applyAlignment="1">
      <alignment horizontal="center"/>
    </xf>
    <xf numFmtId="165" fontId="0" fillId="0" borderId="16" xfId="0" applyNumberFormat="1" applyBorder="1"/>
    <xf numFmtId="165" fontId="0" fillId="0" borderId="1" xfId="0" applyNumberFormat="1" applyBorder="1"/>
    <xf numFmtId="0" fontId="0" fillId="0" borderId="7" xfId="0" applyBorder="1" applyAlignment="1">
      <alignment horizontal="center"/>
    </xf>
    <xf numFmtId="169" fontId="0" fillId="0" borderId="8" xfId="0" applyNumberFormat="1" applyBorder="1"/>
    <xf numFmtId="8" fontId="0" fillId="0" borderId="11" xfId="0" applyNumberFormat="1" applyBorder="1"/>
    <xf numFmtId="165" fontId="0" fillId="4" borderId="4" xfId="0" applyNumberFormat="1" applyFill="1" applyBorder="1"/>
    <xf numFmtId="1" fontId="0" fillId="4" borderId="17" xfId="0" applyNumberFormat="1" applyFill="1" applyBorder="1"/>
    <xf numFmtId="165" fontId="0" fillId="4" borderId="19" xfId="0" applyNumberFormat="1" applyFill="1" applyBorder="1"/>
    <xf numFmtId="1" fontId="0" fillId="4" borderId="15" xfId="0" applyNumberFormat="1" applyFill="1" applyBorder="1"/>
    <xf numFmtId="165" fontId="0" fillId="6" borderId="0" xfId="0" applyNumberFormat="1" applyFill="1"/>
    <xf numFmtId="165" fontId="0" fillId="6" borderId="8" xfId="0" applyNumberFormat="1" applyFill="1" applyBorder="1"/>
    <xf numFmtId="165" fontId="0" fillId="6" borderId="15" xfId="0" applyNumberFormat="1" applyFill="1" applyBorder="1"/>
    <xf numFmtId="9" fontId="0" fillId="0" borderId="6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/>
    <xf numFmtId="0" fontId="25" fillId="0" borderId="8" xfId="0" applyFont="1" applyBorder="1" applyAlignment="1">
      <alignment horizontal="left" indent="1"/>
    </xf>
    <xf numFmtId="0" fontId="25" fillId="0" borderId="11" xfId="0" applyFont="1" applyBorder="1" applyAlignment="1">
      <alignment horizontal="left" indent="1"/>
    </xf>
    <xf numFmtId="165" fontId="19" fillId="0" borderId="13" xfId="0" applyNumberFormat="1" applyFont="1" applyBorder="1"/>
    <xf numFmtId="0" fontId="0" fillId="0" borderId="23" xfId="0" applyBorder="1"/>
    <xf numFmtId="0" fontId="0" fillId="0" borderId="24" xfId="0" applyBorder="1" applyAlignment="1">
      <alignment horizontal="center"/>
    </xf>
    <xf numFmtId="165" fontId="0" fillId="0" borderId="24" xfId="0" applyNumberFormat="1" applyBorder="1"/>
    <xf numFmtId="165" fontId="0" fillId="0" borderId="20" xfId="0" applyNumberFormat="1" applyBorder="1"/>
    <xf numFmtId="165" fontId="0" fillId="0" borderId="22" xfId="0" applyNumberFormat="1" applyBorder="1"/>
    <xf numFmtId="165" fontId="19" fillId="0" borderId="14" xfId="0" applyNumberFormat="1" applyFont="1" applyBorder="1"/>
    <xf numFmtId="165" fontId="0" fillId="0" borderId="25" xfId="0" applyNumberFormat="1" applyBorder="1"/>
    <xf numFmtId="165" fontId="0" fillId="0" borderId="15" xfId="0" applyNumberFormat="1" applyBorder="1"/>
    <xf numFmtId="165" fontId="0" fillId="0" borderId="21" xfId="0" applyNumberFormat="1" applyBorder="1"/>
    <xf numFmtId="165" fontId="19" fillId="0" borderId="11" xfId="0" applyNumberFormat="1" applyFont="1" applyBorder="1"/>
    <xf numFmtId="165" fontId="0" fillId="0" borderId="23" xfId="0" applyNumberFormat="1" applyBorder="1"/>
    <xf numFmtId="9" fontId="0" fillId="0" borderId="0" xfId="0" applyNumberFormat="1" applyBorder="1" applyAlignment="1">
      <alignment horizontal="left"/>
    </xf>
    <xf numFmtId="8" fontId="5" fillId="0" borderId="0" xfId="0" applyNumberFormat="1" applyFont="1" applyBorder="1" applyAlignment="1">
      <alignment horizontal="left"/>
    </xf>
    <xf numFmtId="0" fontId="0" fillId="0" borderId="0" xfId="0" applyNumberFormat="1" applyAlignment="1">
      <alignment horizontal="center" vertical="center" wrapText="1"/>
    </xf>
    <xf numFmtId="0" fontId="0" fillId="7" borderId="4" xfId="0" applyNumberFormat="1" applyFill="1" applyBorder="1" applyAlignment="1">
      <alignment horizontal="center" vertical="center" wrapText="1"/>
    </xf>
    <xf numFmtId="0" fontId="0" fillId="7" borderId="6" xfId="0" applyNumberFormat="1" applyFill="1" applyBorder="1" applyAlignment="1">
      <alignment horizontal="center" vertical="center" wrapText="1"/>
    </xf>
    <xf numFmtId="0" fontId="0" fillId="7" borderId="7" xfId="0" applyNumberFormat="1" applyFill="1" applyBorder="1" applyAlignment="1">
      <alignment horizontal="center" vertical="center" wrapText="1"/>
    </xf>
    <xf numFmtId="0" fontId="0" fillId="7" borderId="12" xfId="0" applyNumberFormat="1" applyFill="1" applyBorder="1" applyAlignment="1">
      <alignment horizontal="center" vertical="center" wrapText="1"/>
    </xf>
    <xf numFmtId="165" fontId="0" fillId="0" borderId="26" xfId="0" applyNumberFormat="1" applyBorder="1"/>
    <xf numFmtId="165" fontId="19" fillId="0" borderId="12" xfId="0" applyNumberFormat="1" applyFont="1" applyBorder="1"/>
    <xf numFmtId="165" fontId="0" fillId="0" borderId="27" xfId="0" applyNumberFormat="1" applyBorder="1"/>
    <xf numFmtId="2" fontId="0" fillId="0" borderId="0" xfId="0" applyNumberFormat="1"/>
    <xf numFmtId="9" fontId="0" fillId="0" borderId="0" xfId="1" applyFont="1"/>
    <xf numFmtId="0" fontId="0" fillId="0" borderId="0" xfId="0" quotePrefix="1"/>
    <xf numFmtId="0" fontId="0" fillId="0" borderId="0" xfId="0" applyNumberFormat="1" applyBorder="1"/>
    <xf numFmtId="0" fontId="0" fillId="0" borderId="10" xfId="0" applyNumberFormat="1" applyBorder="1"/>
    <xf numFmtId="167" fontId="0" fillId="0" borderId="10" xfId="0" applyNumberFormat="1" applyBorder="1"/>
    <xf numFmtId="169" fontId="0" fillId="0" borderId="10" xfId="1" applyNumberFormat="1" applyFont="1" applyBorder="1"/>
    <xf numFmtId="173" fontId="0" fillId="0" borderId="13" xfId="0" applyNumberFormat="1" applyBorder="1"/>
    <xf numFmtId="173" fontId="0" fillId="0" borderId="14" xfId="0" applyNumberFormat="1" applyBorder="1"/>
    <xf numFmtId="9" fontId="0" fillId="0" borderId="0" xfId="0" applyNumberFormat="1" applyBorder="1"/>
    <xf numFmtId="9" fontId="0" fillId="0" borderId="10" xfId="0" applyNumberFormat="1" applyBorder="1"/>
    <xf numFmtId="0" fontId="0" fillId="0" borderId="8" xfId="0" applyNumberFormat="1" applyBorder="1"/>
    <xf numFmtId="9" fontId="0" fillId="0" borderId="8" xfId="0" applyNumberFormat="1" applyBorder="1"/>
    <xf numFmtId="169" fontId="0" fillId="0" borderId="8" xfId="1" applyNumberFormat="1" applyFont="1" applyBorder="1"/>
    <xf numFmtId="173" fontId="0" fillId="0" borderId="11" xfId="0" applyNumberFormat="1" applyBorder="1"/>
    <xf numFmtId="169" fontId="2" fillId="0" borderId="5" xfId="0" applyNumberFormat="1" applyFont="1" applyBorder="1" applyAlignment="1">
      <alignment horizontal="center"/>
    </xf>
    <xf numFmtId="165" fontId="26" fillId="0" borderId="8" xfId="0" applyNumberFormat="1" applyFont="1" applyBorder="1"/>
    <xf numFmtId="0" fontId="19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67" fontId="0" fillId="0" borderId="11" xfId="0" applyNumberFormat="1" applyBorder="1"/>
    <xf numFmtId="167" fontId="0" fillId="0" borderId="13" xfId="0" applyNumberFormat="1" applyBorder="1"/>
    <xf numFmtId="167" fontId="0" fillId="0" borderId="14" xfId="0" applyNumberFormat="1" applyBorder="1"/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9" fontId="0" fillId="0" borderId="0" xfId="0" applyNumberFormat="1" applyAlignment="1">
      <alignment horizontal="center"/>
    </xf>
    <xf numFmtId="0" fontId="0" fillId="0" borderId="15" xfId="0" applyBorder="1" applyAlignment="1">
      <alignment horizontal="right"/>
    </xf>
    <xf numFmtId="165" fontId="0" fillId="0" borderId="0" xfId="0" applyNumberFormat="1" applyAlignment="1">
      <alignment horizontal="center"/>
    </xf>
    <xf numFmtId="10" fontId="0" fillId="0" borderId="10" xfId="0" applyNumberFormat="1" applyBorder="1"/>
    <xf numFmtId="10" fontId="0" fillId="0" borderId="8" xfId="0" applyNumberFormat="1" applyBorder="1"/>
    <xf numFmtId="9" fontId="0" fillId="0" borderId="14" xfId="0" applyNumberFormat="1" applyBorder="1"/>
    <xf numFmtId="9" fontId="0" fillId="0" borderId="15" xfId="0" applyNumberFormat="1" applyBorder="1"/>
    <xf numFmtId="9" fontId="0" fillId="0" borderId="7" xfId="0" applyNumberFormat="1" applyBorder="1"/>
    <xf numFmtId="167" fontId="0" fillId="0" borderId="4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169" fontId="21" fillId="0" borderId="8" xfId="1" applyNumberFormat="1" applyFont="1" applyBorder="1"/>
    <xf numFmtId="169" fontId="21" fillId="0" borderId="0" xfId="1" applyNumberFormat="1" applyFont="1" applyBorder="1"/>
    <xf numFmtId="169" fontId="21" fillId="0" borderId="10" xfId="1" applyNumberFormat="1" applyFont="1" applyBorder="1"/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Differences Between Contracts</a:t>
            </a:r>
          </a:p>
          <a:p>
            <a:pPr>
              <a:defRPr/>
            </a:pPr>
            <a:r>
              <a:rPr lang="fr-FR" sz="1400"/>
              <a:t>2013-2024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831632631286943"/>
          <c:y val="0.23688684747739866"/>
          <c:w val="0.60895017391118789"/>
          <c:h val="0.56289953339165932"/>
        </c:manualLayout>
      </c:layout>
      <c:areaChart>
        <c:grouping val="stacked"/>
        <c:ser>
          <c:idx val="2"/>
          <c:order val="0"/>
          <c:tx>
            <c:strRef>
              <c:f>'Dif Contratos'!$E$225:$F$225</c:f>
              <c:strCache>
                <c:ptCount val="1"/>
                <c:pt idx="0">
                  <c:v>Promethee Variable Costs</c:v>
                </c:pt>
              </c:strCache>
            </c:strRef>
          </c:tx>
          <c:cat>
            <c:numRef>
              <c:f>'Dif Contratos'!$G$221:$R$221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'Dif Contratos'!$G$225:$R$225</c:f>
              <c:numCache>
                <c:formatCode>#,##0.0</c:formatCode>
                <c:ptCount val="12"/>
                <c:pt idx="0">
                  <c:v>26.398955858187254</c:v>
                </c:pt>
                <c:pt idx="1">
                  <c:v>25.932856366398973</c:v>
                </c:pt>
                <c:pt idx="2">
                  <c:v>25.977550525267084</c:v>
                </c:pt>
                <c:pt idx="3">
                  <c:v>26.023094408034328</c:v>
                </c:pt>
                <c:pt idx="4">
                  <c:v>26.069504567585916</c:v>
                </c:pt>
                <c:pt idx="5">
                  <c:v>26.116797883448818</c:v>
                </c:pt>
                <c:pt idx="6">
                  <c:v>26.164991568280463</c:v>
                </c:pt>
                <c:pt idx="7">
                  <c:v>26.214103174486748</c:v>
                </c:pt>
                <c:pt idx="8">
                  <c:v>26.264150600971931</c:v>
                </c:pt>
                <c:pt idx="9">
                  <c:v>26.315152100023152</c:v>
                </c:pt>
                <c:pt idx="10">
                  <c:v>26.367126284332084</c:v>
                </c:pt>
                <c:pt idx="11">
                  <c:v>26.420092134156661</c:v>
                </c:pt>
              </c:numCache>
            </c:numRef>
          </c:val>
        </c:ser>
        <c:ser>
          <c:idx val="1"/>
          <c:order val="1"/>
          <c:tx>
            <c:strRef>
              <c:f>'Dif Contratos'!$E$224:$F$224</c:f>
              <c:strCache>
                <c:ptCount val="1"/>
                <c:pt idx="0">
                  <c:v>Promethee O&amp;M</c:v>
                </c:pt>
              </c:strCache>
            </c:strRef>
          </c:tx>
          <c:cat>
            <c:numRef>
              <c:f>'Dif Contratos'!$G$221:$R$221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'Dif Contratos'!$G$224:$R$224</c:f>
              <c:numCache>
                <c:formatCode>#,##0.0</c:formatCode>
                <c:ptCount val="12"/>
                <c:pt idx="0">
                  <c:v>7.1363274061337405</c:v>
                </c:pt>
                <c:pt idx="1">
                  <c:v>7.224176766160415</c:v>
                </c:pt>
                <c:pt idx="2">
                  <c:v>7.3137831133876245</c:v>
                </c:pt>
                <c:pt idx="3">
                  <c:v>7.4051815875593752</c:v>
                </c:pt>
                <c:pt idx="4">
                  <c:v>7.4984080312145656</c:v>
                </c:pt>
                <c:pt idx="5">
                  <c:v>7.5934990037428545</c:v>
                </c:pt>
                <c:pt idx="6">
                  <c:v>7.6904917957217114</c:v>
                </c:pt>
                <c:pt idx="7">
                  <c:v>7.7894244435401463</c:v>
                </c:pt>
                <c:pt idx="8">
                  <c:v>7.8903357443149487</c:v>
                </c:pt>
                <c:pt idx="9">
                  <c:v>7.9932652711052476</c:v>
                </c:pt>
                <c:pt idx="10">
                  <c:v>8.0982533884313526</c:v>
                </c:pt>
                <c:pt idx="11">
                  <c:v>8.2053412681039806</c:v>
                </c:pt>
              </c:numCache>
            </c:numRef>
          </c:val>
        </c:ser>
        <c:ser>
          <c:idx val="0"/>
          <c:order val="2"/>
          <c:tx>
            <c:strRef>
              <c:f>'Dif Contratos'!$E$223:$F$223</c:f>
              <c:strCache>
                <c:ptCount val="1"/>
                <c:pt idx="0">
                  <c:v>Promethee Capex</c:v>
                </c:pt>
              </c:strCache>
            </c:strRef>
          </c:tx>
          <c:cat>
            <c:numRef>
              <c:f>'Dif Contratos'!$G$221:$R$221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'Dif Contratos'!$G$223:$R$223</c:f>
              <c:numCache>
                <c:formatCode>#,##0.0</c:formatCode>
                <c:ptCount val="12"/>
                <c:pt idx="0">
                  <c:v>13.778928423936001</c:v>
                </c:pt>
                <c:pt idx="1">
                  <c:v>14.054506992414719</c:v>
                </c:pt>
                <c:pt idx="2">
                  <c:v>14.335597132263015</c:v>
                </c:pt>
                <c:pt idx="3">
                  <c:v>14.622309074908275</c:v>
                </c:pt>
                <c:pt idx="4">
                  <c:v>14.914755256406439</c:v>
                </c:pt>
                <c:pt idx="5">
                  <c:v>15.21305036153457</c:v>
                </c:pt>
                <c:pt idx="6">
                  <c:v>15.517311368765256</c:v>
                </c:pt>
                <c:pt idx="7">
                  <c:v>15.827657596140565</c:v>
                </c:pt>
                <c:pt idx="8">
                  <c:v>16.144210748063376</c:v>
                </c:pt>
                <c:pt idx="9">
                  <c:v>16.467094963024646</c:v>
                </c:pt>
                <c:pt idx="10">
                  <c:v>16.796436862285134</c:v>
                </c:pt>
                <c:pt idx="11">
                  <c:v>17.132365599530839</c:v>
                </c:pt>
              </c:numCache>
            </c:numRef>
          </c:val>
        </c:ser>
        <c:axId val="110348928"/>
        <c:axId val="116257536"/>
      </c:areaChart>
      <c:lineChart>
        <c:grouping val="standard"/>
        <c:ser>
          <c:idx val="3"/>
          <c:order val="3"/>
          <c:tx>
            <c:strRef>
              <c:f>'Dif Contratos'!$E$226:$F$226</c:f>
              <c:strCache>
                <c:ptCount val="1"/>
                <c:pt idx="0">
                  <c:v>Costs From Soregies Contract</c:v>
                </c:pt>
              </c:strCache>
            </c:strRef>
          </c:tx>
          <c:marker>
            <c:symbol val="circle"/>
            <c:size val="5"/>
            <c:spPr>
              <a:solidFill>
                <a:sysClr val="window" lastClr="FFFFFF"/>
              </a:solidFill>
            </c:spPr>
          </c:marker>
          <c:cat>
            <c:numRef>
              <c:f>'Dif Contratos'!$G$221:$R$221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'Dif Contratos'!$G$226:$R$226</c:f>
              <c:numCache>
                <c:formatCode>#,##0.0</c:formatCode>
                <c:ptCount val="12"/>
                <c:pt idx="0">
                  <c:v>43.900046588349994</c:v>
                </c:pt>
                <c:pt idx="1">
                  <c:v>43.489728310417782</c:v>
                </c:pt>
                <c:pt idx="2">
                  <c:v>43.560960461361766</c:v>
                </c:pt>
                <c:pt idx="3">
                  <c:v>43.632843313951966</c:v>
                </c:pt>
                <c:pt idx="4">
                  <c:v>43.705387419161504</c:v>
                </c:pt>
                <c:pt idx="5">
                  <c:v>43.75244544442063</c:v>
                </c:pt>
                <c:pt idx="6">
                  <c:v>43.824322474869213</c:v>
                </c:pt>
                <c:pt idx="7">
                  <c:v>43.872694397012559</c:v>
                </c:pt>
                <c:pt idx="8">
                  <c:v>43.947944699327778</c:v>
                </c:pt>
                <c:pt idx="9">
                  <c:v>43.843380963254582</c:v>
                </c:pt>
                <c:pt idx="10">
                  <c:v>44.070225393255598</c:v>
                </c:pt>
                <c:pt idx="11">
                  <c:v>44.121354541874503</c:v>
                </c:pt>
              </c:numCache>
            </c:numRef>
          </c:val>
        </c:ser>
        <c:marker val="1"/>
        <c:axId val="110348928"/>
        <c:axId val="116257536"/>
      </c:lineChart>
      <c:lineChart>
        <c:grouping val="standard"/>
        <c:ser>
          <c:idx val="4"/>
          <c:order val="4"/>
          <c:tx>
            <c:strRef>
              <c:f>'Dif Contratos'!$E$227</c:f>
              <c:strCache>
                <c:ptCount val="1"/>
                <c:pt idx="0">
                  <c:v>Difference</c:v>
                </c:pt>
              </c:strCache>
            </c:strRef>
          </c:tx>
          <c:dLbls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>
                  <a:defRPr sz="700"/>
                </a:pPr>
                <a:endParaRPr lang="fr-FR"/>
              </a:p>
            </c:txPr>
            <c:dLblPos val="t"/>
            <c:showVal val="1"/>
          </c:dLbls>
          <c:val>
            <c:numRef>
              <c:f>'Dif Contratos'!$G$227:$R$227</c:f>
              <c:numCache>
                <c:formatCode>#,##0.0</c:formatCode>
                <c:ptCount val="12"/>
                <c:pt idx="0">
                  <c:v>3.4141650999070023</c:v>
                </c:pt>
                <c:pt idx="1">
                  <c:v>3.7218118145563253</c:v>
                </c:pt>
                <c:pt idx="2">
                  <c:v>4.0659703095559578</c:v>
                </c:pt>
                <c:pt idx="3">
                  <c:v>4.417741756550015</c:v>
                </c:pt>
                <c:pt idx="4">
                  <c:v>4.777280436045416</c:v>
                </c:pt>
                <c:pt idx="5">
                  <c:v>5.1709018043056147</c:v>
                </c:pt>
                <c:pt idx="6">
                  <c:v>5.5484722578982186</c:v>
                </c:pt>
                <c:pt idx="7">
                  <c:v>5.9584908171549031</c:v>
                </c:pt>
                <c:pt idx="8">
                  <c:v>6.3507523940224786</c:v>
                </c:pt>
                <c:pt idx="9">
                  <c:v>6.9321313708984675</c:v>
                </c:pt>
                <c:pt idx="10">
                  <c:v>7.1915911417929692</c:v>
                </c:pt>
                <c:pt idx="11">
                  <c:v>7.6364444599169801</c:v>
                </c:pt>
              </c:numCache>
            </c:numRef>
          </c:val>
        </c:ser>
        <c:marker val="1"/>
        <c:axId val="151569920"/>
        <c:axId val="151282816"/>
      </c:lineChart>
      <c:catAx>
        <c:axId val="110348928"/>
        <c:scaling>
          <c:orientation val="minMax"/>
        </c:scaling>
        <c:axPos val="b"/>
        <c:numFmt formatCode="General" sourceLinked="1"/>
        <c:tickLblPos val="nextTo"/>
        <c:txPr>
          <a:bodyPr rot="-1740000"/>
          <a:lstStyle/>
          <a:p>
            <a:pPr>
              <a:defRPr sz="1050"/>
            </a:pPr>
            <a:endParaRPr lang="fr-FR"/>
          </a:p>
        </c:txPr>
        <c:crossAx val="116257536"/>
        <c:crosses val="autoZero"/>
        <c:auto val="1"/>
        <c:lblAlgn val="ctr"/>
        <c:lblOffset val="100"/>
      </c:catAx>
      <c:valAx>
        <c:axId val="116257536"/>
        <c:scaling>
          <c:orientation val="minMax"/>
          <c:min val="2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m€</a:t>
                </a:r>
              </a:p>
            </c:rich>
          </c:tx>
          <c:layout/>
        </c:title>
        <c:numFmt formatCode="#,##0.0" sourceLinked="1"/>
        <c:tickLblPos val="nextTo"/>
        <c:crossAx val="110348928"/>
        <c:crosses val="autoZero"/>
        <c:crossBetween val="between"/>
      </c:valAx>
      <c:valAx>
        <c:axId val="151282816"/>
        <c:scaling>
          <c:orientation val="minMax"/>
        </c:scaling>
        <c:axPos val="r"/>
        <c:numFmt formatCode="#,##0.0" sourceLinked="1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fr-FR"/>
          </a:p>
        </c:txPr>
        <c:crossAx val="151569920"/>
        <c:crosses val="max"/>
        <c:crossBetween val="between"/>
      </c:valAx>
      <c:catAx>
        <c:axId val="151569920"/>
        <c:scaling>
          <c:orientation val="minMax"/>
        </c:scaling>
        <c:delete val="1"/>
        <c:axPos val="b"/>
        <c:tickLblPos val="none"/>
        <c:crossAx val="151282816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77502302456095429"/>
          <c:y val="0.33194845435987169"/>
          <c:w val="0.2083103514499712"/>
          <c:h val="0.55862642169728782"/>
        </c:manualLayout>
      </c:layout>
      <c:txPr>
        <a:bodyPr/>
        <a:lstStyle/>
        <a:p>
          <a:pPr>
            <a:defRPr sz="900"/>
          </a:pPr>
          <a:endParaRPr lang="fr-FR"/>
        </a:p>
      </c:txPr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Diferences betweeen</a:t>
            </a:r>
            <a:r>
              <a:rPr lang="fr-FR" baseline="0"/>
              <a:t> Contracts</a:t>
            </a:r>
          </a:p>
          <a:p>
            <a:pPr>
              <a:defRPr/>
            </a:pPr>
            <a:r>
              <a:rPr lang="fr-FR" sz="1200"/>
              <a:t>2014</a:t>
            </a:r>
            <a:r>
              <a:rPr lang="fr-FR" sz="1200" baseline="0"/>
              <a:t> Values</a:t>
            </a:r>
            <a:endParaRPr lang="fr-FR" sz="1200"/>
          </a:p>
        </c:rich>
      </c:tx>
      <c:layout/>
    </c:title>
    <c:plotArea>
      <c:layout/>
      <c:barChart>
        <c:barDir val="col"/>
        <c:grouping val="stacked"/>
        <c:ser>
          <c:idx val="2"/>
          <c:order val="0"/>
          <c:tx>
            <c:strRef>
              <c:f>Graphics!$C$13</c:f>
              <c:strCache>
                <c:ptCount val="1"/>
                <c:pt idx="0">
                  <c:v>Variable Costs</c:v>
                </c:pt>
              </c:strCache>
            </c:strRef>
          </c:tx>
          <c:cat>
            <c:strRef>
              <c:f>Graphics!$D$3:$H$3</c:f>
              <c:strCache>
                <c:ptCount val="5"/>
                <c:pt idx="0">
                  <c:v>Promethee</c:v>
                </c:pt>
                <c:pt idx="1">
                  <c:v>Low Ref.</c:v>
                </c:pt>
                <c:pt idx="2">
                  <c:v>Med. Ref</c:v>
                </c:pt>
                <c:pt idx="3">
                  <c:v>High Ref.</c:v>
                </c:pt>
                <c:pt idx="4">
                  <c:v>Soregies</c:v>
                </c:pt>
              </c:strCache>
            </c:strRef>
          </c:cat>
          <c:val>
            <c:numRef>
              <c:f>Graphics!$D$13:$H$13</c:f>
              <c:numCache>
                <c:formatCode>#,##0.0</c:formatCode>
                <c:ptCount val="5"/>
                <c:pt idx="0">
                  <c:v>25.932856366398973</c:v>
                </c:pt>
                <c:pt idx="1">
                  <c:v>25.932856366398973</c:v>
                </c:pt>
                <c:pt idx="2">
                  <c:v>25.932856366398973</c:v>
                </c:pt>
                <c:pt idx="3">
                  <c:v>25.932856366398973</c:v>
                </c:pt>
                <c:pt idx="4">
                  <c:v>25.932856366398973</c:v>
                </c:pt>
              </c:numCache>
            </c:numRef>
          </c:val>
        </c:ser>
        <c:ser>
          <c:idx val="1"/>
          <c:order val="1"/>
          <c:tx>
            <c:strRef>
              <c:f>Graphics!$C$11</c:f>
              <c:strCache>
                <c:ptCount val="1"/>
                <c:pt idx="0">
                  <c:v>O&amp;M</c:v>
                </c:pt>
              </c:strCache>
            </c:strRef>
          </c:tx>
          <c:cat>
            <c:strRef>
              <c:f>Graphics!$D$3:$H$3</c:f>
              <c:strCache>
                <c:ptCount val="5"/>
                <c:pt idx="0">
                  <c:v>Promethee</c:v>
                </c:pt>
                <c:pt idx="1">
                  <c:v>Low Ref.</c:v>
                </c:pt>
                <c:pt idx="2">
                  <c:v>Med. Ref</c:v>
                </c:pt>
                <c:pt idx="3">
                  <c:v>High Ref.</c:v>
                </c:pt>
                <c:pt idx="4">
                  <c:v>Soregies</c:v>
                </c:pt>
              </c:strCache>
            </c:strRef>
          </c:cat>
          <c:val>
            <c:numRef>
              <c:f>Graphics!$D$11:$H$11</c:f>
              <c:numCache>
                <c:formatCode>#,##0.0</c:formatCode>
                <c:ptCount val="5"/>
                <c:pt idx="0">
                  <c:v>7.224176766160415</c:v>
                </c:pt>
                <c:pt idx="1">
                  <c:v>6.4252347599999995</c:v>
                </c:pt>
                <c:pt idx="2">
                  <c:v>6.4252347599999995</c:v>
                </c:pt>
                <c:pt idx="3">
                  <c:v>7.224176766160415</c:v>
                </c:pt>
                <c:pt idx="4">
                  <c:v>3.6798249820430344</c:v>
                </c:pt>
              </c:numCache>
            </c:numRef>
          </c:val>
        </c:ser>
        <c:ser>
          <c:idx val="0"/>
          <c:order val="2"/>
          <c:tx>
            <c:strRef>
              <c:f>Graphics!$C$4</c:f>
              <c:strCache>
                <c:ptCount val="1"/>
                <c:pt idx="0">
                  <c:v>Capex</c:v>
                </c:pt>
              </c:strCache>
            </c:strRef>
          </c:tx>
          <c:cat>
            <c:strRef>
              <c:f>Graphics!$D$3:$H$3</c:f>
              <c:strCache>
                <c:ptCount val="5"/>
                <c:pt idx="0">
                  <c:v>Promethee</c:v>
                </c:pt>
                <c:pt idx="1">
                  <c:v>Low Ref.</c:v>
                </c:pt>
                <c:pt idx="2">
                  <c:v>Med. Ref</c:v>
                </c:pt>
                <c:pt idx="3">
                  <c:v>High Ref.</c:v>
                </c:pt>
                <c:pt idx="4">
                  <c:v>Soregies</c:v>
                </c:pt>
              </c:strCache>
            </c:strRef>
          </c:cat>
          <c:val>
            <c:numRef>
              <c:f>Graphics!$D$4:$H$4</c:f>
              <c:numCache>
                <c:formatCode>#,##0.0</c:formatCode>
                <c:ptCount val="5"/>
                <c:pt idx="0">
                  <c:v>14.054506992414719</c:v>
                </c:pt>
                <c:pt idx="1">
                  <c:v>11.125736210226595</c:v>
                </c:pt>
                <c:pt idx="2">
                  <c:v>13.251531504902761</c:v>
                </c:pt>
                <c:pt idx="3">
                  <c:v>15.377326799578924</c:v>
                </c:pt>
                <c:pt idx="4">
                  <c:v>13.927302547354135</c:v>
                </c:pt>
              </c:numCache>
            </c:numRef>
          </c:val>
        </c:ser>
        <c:dLbls>
          <c:dLblPos val="ctr"/>
          <c:showVal val="1"/>
        </c:dLbls>
        <c:gapWidth val="95"/>
        <c:overlap val="100"/>
        <c:axId val="117588352"/>
        <c:axId val="117589888"/>
      </c:barChart>
      <c:catAx>
        <c:axId val="117588352"/>
        <c:scaling>
          <c:orientation val="minMax"/>
        </c:scaling>
        <c:axPos val="b"/>
        <c:tickLblPos val="nextTo"/>
        <c:crossAx val="117589888"/>
        <c:crosses val="autoZero"/>
        <c:auto val="1"/>
        <c:lblAlgn val="ctr"/>
        <c:lblOffset val="100"/>
      </c:catAx>
      <c:valAx>
        <c:axId val="117589888"/>
        <c:scaling>
          <c:orientation val="minMax"/>
          <c:min val="20"/>
        </c:scaling>
        <c:delete val="1"/>
        <c:axPos val="l"/>
        <c:numFmt formatCode="#,##0.0" sourceLinked="1"/>
        <c:tickLblPos val="none"/>
        <c:crossAx val="117588352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9525</xdr:colOff>
      <xdr:row>22</xdr:row>
      <xdr:rowOff>76200</xdr:rowOff>
    </xdr:from>
    <xdr:to>
      <xdr:col>56</xdr:col>
      <xdr:colOff>457200</xdr:colOff>
      <xdr:row>26</xdr:row>
      <xdr:rowOff>95250</xdr:rowOff>
    </xdr:to>
    <xdr:sp macro="" textlink="">
      <xdr:nvSpPr>
        <xdr:cNvPr id="2" name="AutoShape 56"/>
        <xdr:cNvSpPr>
          <a:spLocks/>
        </xdr:cNvSpPr>
      </xdr:nvSpPr>
      <xdr:spPr bwMode="auto">
        <a:xfrm>
          <a:off x="10334625" y="3543300"/>
          <a:ext cx="676275" cy="504825"/>
        </a:xfrm>
        <a:prstGeom prst="rightBrace">
          <a:avLst>
            <a:gd name="adj1" fmla="val 8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200024</xdr:colOff>
      <xdr:row>227</xdr:row>
      <xdr:rowOff>38100</xdr:rowOff>
    </xdr:from>
    <xdr:to>
      <xdr:col>14</xdr:col>
      <xdr:colOff>571499</xdr:colOff>
      <xdr:row>241</xdr:row>
      <xdr:rowOff>114300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20</xdr:row>
      <xdr:rowOff>152399</xdr:rowOff>
    </xdr:from>
    <xdr:to>
      <xdr:col>12</xdr:col>
      <xdr:colOff>38100</xdr:colOff>
      <xdr:row>40</xdr:row>
      <xdr:rowOff>104774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233"/>
  <sheetViews>
    <sheetView showGridLines="0" topLeftCell="A155" zoomScaleNormal="100" workbookViewId="0">
      <selection activeCell="A160" sqref="A160"/>
    </sheetView>
  </sheetViews>
  <sheetFormatPr baseColWidth="10" defaultRowHeight="15"/>
  <cols>
    <col min="1" max="1" width="19.7109375" customWidth="1"/>
    <col min="2" max="2" width="2.28515625" customWidth="1"/>
    <col min="3" max="3" width="13.85546875" style="1" customWidth="1"/>
    <col min="4" max="4" width="6.85546875" customWidth="1"/>
    <col min="5" max="5" width="27.5703125" customWidth="1"/>
    <col min="6" max="6" width="8.42578125" style="2" customWidth="1"/>
    <col min="7" max="9" width="12.140625" bestFit="1" customWidth="1"/>
    <col min="10" max="10" width="11.7109375" bestFit="1" customWidth="1"/>
    <col min="11" max="53" width="11.5703125" customWidth="1"/>
    <col min="54" max="54" width="11.5703125" bestFit="1" customWidth="1"/>
    <col min="55" max="56" width="2.28515625" customWidth="1"/>
    <col min="57" max="57" width="5.7109375" customWidth="1"/>
    <col min="58" max="58" width="26.140625" customWidth="1"/>
    <col min="64" max="64" width="3.28515625" customWidth="1"/>
    <col min="300" max="300" width="30.85546875" customWidth="1"/>
    <col min="301" max="301" width="2.28515625" customWidth="1"/>
    <col min="302" max="302" width="2.7109375" customWidth="1"/>
    <col min="303" max="303" width="6.85546875" customWidth="1"/>
    <col min="304" max="304" width="31.5703125" bestFit="1" customWidth="1"/>
    <col min="305" max="305" width="21.42578125" customWidth="1"/>
    <col min="306" max="308" width="12" bestFit="1" customWidth="1"/>
    <col min="309" max="310" width="11.5703125" bestFit="1" customWidth="1"/>
    <col min="311" max="312" width="2.28515625" customWidth="1"/>
    <col min="313" max="313" width="5.7109375" customWidth="1"/>
    <col min="314" max="314" width="26.140625" customWidth="1"/>
    <col min="320" max="320" width="3.28515625" customWidth="1"/>
    <col min="556" max="556" width="30.85546875" customWidth="1"/>
    <col min="557" max="557" width="2.28515625" customWidth="1"/>
    <col min="558" max="558" width="2.7109375" customWidth="1"/>
    <col min="559" max="559" width="6.85546875" customWidth="1"/>
    <col min="560" max="560" width="31.5703125" bestFit="1" customWidth="1"/>
    <col min="561" max="561" width="21.42578125" customWidth="1"/>
    <col min="562" max="564" width="12" bestFit="1" customWidth="1"/>
    <col min="565" max="566" width="11.5703125" bestFit="1" customWidth="1"/>
    <col min="567" max="568" width="2.28515625" customWidth="1"/>
    <col min="569" max="569" width="5.7109375" customWidth="1"/>
    <col min="570" max="570" width="26.140625" customWidth="1"/>
    <col min="576" max="576" width="3.28515625" customWidth="1"/>
    <col min="812" max="812" width="30.85546875" customWidth="1"/>
    <col min="813" max="813" width="2.28515625" customWidth="1"/>
    <col min="814" max="814" width="2.7109375" customWidth="1"/>
    <col min="815" max="815" width="6.85546875" customWidth="1"/>
    <col min="816" max="816" width="31.5703125" bestFit="1" customWidth="1"/>
    <col min="817" max="817" width="21.42578125" customWidth="1"/>
    <col min="818" max="820" width="12" bestFit="1" customWidth="1"/>
    <col min="821" max="822" width="11.5703125" bestFit="1" customWidth="1"/>
    <col min="823" max="824" width="2.28515625" customWidth="1"/>
    <col min="825" max="825" width="5.7109375" customWidth="1"/>
    <col min="826" max="826" width="26.140625" customWidth="1"/>
    <col min="832" max="832" width="3.28515625" customWidth="1"/>
    <col min="1068" max="1068" width="30.85546875" customWidth="1"/>
    <col min="1069" max="1069" width="2.28515625" customWidth="1"/>
    <col min="1070" max="1070" width="2.7109375" customWidth="1"/>
    <col min="1071" max="1071" width="6.85546875" customWidth="1"/>
    <col min="1072" max="1072" width="31.5703125" bestFit="1" customWidth="1"/>
    <col min="1073" max="1073" width="21.42578125" customWidth="1"/>
    <col min="1074" max="1076" width="12" bestFit="1" customWidth="1"/>
    <col min="1077" max="1078" width="11.5703125" bestFit="1" customWidth="1"/>
    <col min="1079" max="1080" width="2.28515625" customWidth="1"/>
    <col min="1081" max="1081" width="5.7109375" customWidth="1"/>
    <col min="1082" max="1082" width="26.140625" customWidth="1"/>
    <col min="1088" max="1088" width="3.28515625" customWidth="1"/>
    <col min="1324" max="1324" width="30.85546875" customWidth="1"/>
    <col min="1325" max="1325" width="2.28515625" customWidth="1"/>
    <col min="1326" max="1326" width="2.7109375" customWidth="1"/>
    <col min="1327" max="1327" width="6.85546875" customWidth="1"/>
    <col min="1328" max="1328" width="31.5703125" bestFit="1" customWidth="1"/>
    <col min="1329" max="1329" width="21.42578125" customWidth="1"/>
    <col min="1330" max="1332" width="12" bestFit="1" customWidth="1"/>
    <col min="1333" max="1334" width="11.5703125" bestFit="1" customWidth="1"/>
    <col min="1335" max="1336" width="2.28515625" customWidth="1"/>
    <col min="1337" max="1337" width="5.7109375" customWidth="1"/>
    <col min="1338" max="1338" width="26.140625" customWidth="1"/>
    <col min="1344" max="1344" width="3.28515625" customWidth="1"/>
    <col min="1580" max="1580" width="30.85546875" customWidth="1"/>
    <col min="1581" max="1581" width="2.28515625" customWidth="1"/>
    <col min="1582" max="1582" width="2.7109375" customWidth="1"/>
    <col min="1583" max="1583" width="6.85546875" customWidth="1"/>
    <col min="1584" max="1584" width="31.5703125" bestFit="1" customWidth="1"/>
    <col min="1585" max="1585" width="21.42578125" customWidth="1"/>
    <col min="1586" max="1588" width="12" bestFit="1" customWidth="1"/>
    <col min="1589" max="1590" width="11.5703125" bestFit="1" customWidth="1"/>
    <col min="1591" max="1592" width="2.28515625" customWidth="1"/>
    <col min="1593" max="1593" width="5.7109375" customWidth="1"/>
    <col min="1594" max="1594" width="26.140625" customWidth="1"/>
    <col min="1600" max="1600" width="3.28515625" customWidth="1"/>
    <col min="1836" max="1836" width="30.85546875" customWidth="1"/>
    <col min="1837" max="1837" width="2.28515625" customWidth="1"/>
    <col min="1838" max="1838" width="2.7109375" customWidth="1"/>
    <col min="1839" max="1839" width="6.85546875" customWidth="1"/>
    <col min="1840" max="1840" width="31.5703125" bestFit="1" customWidth="1"/>
    <col min="1841" max="1841" width="21.42578125" customWidth="1"/>
    <col min="1842" max="1844" width="12" bestFit="1" customWidth="1"/>
    <col min="1845" max="1846" width="11.5703125" bestFit="1" customWidth="1"/>
    <col min="1847" max="1848" width="2.28515625" customWidth="1"/>
    <col min="1849" max="1849" width="5.7109375" customWidth="1"/>
    <col min="1850" max="1850" width="26.140625" customWidth="1"/>
    <col min="1856" max="1856" width="3.28515625" customWidth="1"/>
    <col min="2092" max="2092" width="30.85546875" customWidth="1"/>
    <col min="2093" max="2093" width="2.28515625" customWidth="1"/>
    <col min="2094" max="2094" width="2.7109375" customWidth="1"/>
    <col min="2095" max="2095" width="6.85546875" customWidth="1"/>
    <col min="2096" max="2096" width="31.5703125" bestFit="1" customWidth="1"/>
    <col min="2097" max="2097" width="21.42578125" customWidth="1"/>
    <col min="2098" max="2100" width="12" bestFit="1" customWidth="1"/>
    <col min="2101" max="2102" width="11.5703125" bestFit="1" customWidth="1"/>
    <col min="2103" max="2104" width="2.28515625" customWidth="1"/>
    <col min="2105" max="2105" width="5.7109375" customWidth="1"/>
    <col min="2106" max="2106" width="26.140625" customWidth="1"/>
    <col min="2112" max="2112" width="3.28515625" customWidth="1"/>
    <col min="2348" max="2348" width="30.85546875" customWidth="1"/>
    <col min="2349" max="2349" width="2.28515625" customWidth="1"/>
    <col min="2350" max="2350" width="2.7109375" customWidth="1"/>
    <col min="2351" max="2351" width="6.85546875" customWidth="1"/>
    <col min="2352" max="2352" width="31.5703125" bestFit="1" customWidth="1"/>
    <col min="2353" max="2353" width="21.42578125" customWidth="1"/>
    <col min="2354" max="2356" width="12" bestFit="1" customWidth="1"/>
    <col min="2357" max="2358" width="11.5703125" bestFit="1" customWidth="1"/>
    <col min="2359" max="2360" width="2.28515625" customWidth="1"/>
    <col min="2361" max="2361" width="5.7109375" customWidth="1"/>
    <col min="2362" max="2362" width="26.140625" customWidth="1"/>
    <col min="2368" max="2368" width="3.28515625" customWidth="1"/>
    <col min="2604" max="2604" width="30.85546875" customWidth="1"/>
    <col min="2605" max="2605" width="2.28515625" customWidth="1"/>
    <col min="2606" max="2606" width="2.7109375" customWidth="1"/>
    <col min="2607" max="2607" width="6.85546875" customWidth="1"/>
    <col min="2608" max="2608" width="31.5703125" bestFit="1" customWidth="1"/>
    <col min="2609" max="2609" width="21.42578125" customWidth="1"/>
    <col min="2610" max="2612" width="12" bestFit="1" customWidth="1"/>
    <col min="2613" max="2614" width="11.5703125" bestFit="1" customWidth="1"/>
    <col min="2615" max="2616" width="2.28515625" customWidth="1"/>
    <col min="2617" max="2617" width="5.7109375" customWidth="1"/>
    <col min="2618" max="2618" width="26.140625" customWidth="1"/>
    <col min="2624" max="2624" width="3.28515625" customWidth="1"/>
    <col min="2860" max="2860" width="30.85546875" customWidth="1"/>
    <col min="2861" max="2861" width="2.28515625" customWidth="1"/>
    <col min="2862" max="2862" width="2.7109375" customWidth="1"/>
    <col min="2863" max="2863" width="6.85546875" customWidth="1"/>
    <col min="2864" max="2864" width="31.5703125" bestFit="1" customWidth="1"/>
    <col min="2865" max="2865" width="21.42578125" customWidth="1"/>
    <col min="2866" max="2868" width="12" bestFit="1" customWidth="1"/>
    <col min="2869" max="2870" width="11.5703125" bestFit="1" customWidth="1"/>
    <col min="2871" max="2872" width="2.28515625" customWidth="1"/>
    <col min="2873" max="2873" width="5.7109375" customWidth="1"/>
    <col min="2874" max="2874" width="26.140625" customWidth="1"/>
    <col min="2880" max="2880" width="3.28515625" customWidth="1"/>
    <col min="3116" max="3116" width="30.85546875" customWidth="1"/>
    <col min="3117" max="3117" width="2.28515625" customWidth="1"/>
    <col min="3118" max="3118" width="2.7109375" customWidth="1"/>
    <col min="3119" max="3119" width="6.85546875" customWidth="1"/>
    <col min="3120" max="3120" width="31.5703125" bestFit="1" customWidth="1"/>
    <col min="3121" max="3121" width="21.42578125" customWidth="1"/>
    <col min="3122" max="3124" width="12" bestFit="1" customWidth="1"/>
    <col min="3125" max="3126" width="11.5703125" bestFit="1" customWidth="1"/>
    <col min="3127" max="3128" width="2.28515625" customWidth="1"/>
    <col min="3129" max="3129" width="5.7109375" customWidth="1"/>
    <col min="3130" max="3130" width="26.140625" customWidth="1"/>
    <col min="3136" max="3136" width="3.28515625" customWidth="1"/>
    <col min="3372" max="3372" width="30.85546875" customWidth="1"/>
    <col min="3373" max="3373" width="2.28515625" customWidth="1"/>
    <col min="3374" max="3374" width="2.7109375" customWidth="1"/>
    <col min="3375" max="3375" width="6.85546875" customWidth="1"/>
    <col min="3376" max="3376" width="31.5703125" bestFit="1" customWidth="1"/>
    <col min="3377" max="3377" width="21.42578125" customWidth="1"/>
    <col min="3378" max="3380" width="12" bestFit="1" customWidth="1"/>
    <col min="3381" max="3382" width="11.5703125" bestFit="1" customWidth="1"/>
    <col min="3383" max="3384" width="2.28515625" customWidth="1"/>
    <col min="3385" max="3385" width="5.7109375" customWidth="1"/>
    <col min="3386" max="3386" width="26.140625" customWidth="1"/>
    <col min="3392" max="3392" width="3.28515625" customWidth="1"/>
    <col min="3628" max="3628" width="30.85546875" customWidth="1"/>
    <col min="3629" max="3629" width="2.28515625" customWidth="1"/>
    <col min="3630" max="3630" width="2.7109375" customWidth="1"/>
    <col min="3631" max="3631" width="6.85546875" customWidth="1"/>
    <col min="3632" max="3632" width="31.5703125" bestFit="1" customWidth="1"/>
    <col min="3633" max="3633" width="21.42578125" customWidth="1"/>
    <col min="3634" max="3636" width="12" bestFit="1" customWidth="1"/>
    <col min="3637" max="3638" width="11.5703125" bestFit="1" customWidth="1"/>
    <col min="3639" max="3640" width="2.28515625" customWidth="1"/>
    <col min="3641" max="3641" width="5.7109375" customWidth="1"/>
    <col min="3642" max="3642" width="26.140625" customWidth="1"/>
    <col min="3648" max="3648" width="3.28515625" customWidth="1"/>
    <col min="3884" max="3884" width="30.85546875" customWidth="1"/>
    <col min="3885" max="3885" width="2.28515625" customWidth="1"/>
    <col min="3886" max="3886" width="2.7109375" customWidth="1"/>
    <col min="3887" max="3887" width="6.85546875" customWidth="1"/>
    <col min="3888" max="3888" width="31.5703125" bestFit="1" customWidth="1"/>
    <col min="3889" max="3889" width="21.42578125" customWidth="1"/>
    <col min="3890" max="3892" width="12" bestFit="1" customWidth="1"/>
    <col min="3893" max="3894" width="11.5703125" bestFit="1" customWidth="1"/>
    <col min="3895" max="3896" width="2.28515625" customWidth="1"/>
    <col min="3897" max="3897" width="5.7109375" customWidth="1"/>
    <col min="3898" max="3898" width="26.140625" customWidth="1"/>
    <col min="3904" max="3904" width="3.28515625" customWidth="1"/>
    <col min="4140" max="4140" width="30.85546875" customWidth="1"/>
    <col min="4141" max="4141" width="2.28515625" customWidth="1"/>
    <col min="4142" max="4142" width="2.7109375" customWidth="1"/>
    <col min="4143" max="4143" width="6.85546875" customWidth="1"/>
    <col min="4144" max="4144" width="31.5703125" bestFit="1" customWidth="1"/>
    <col min="4145" max="4145" width="21.42578125" customWidth="1"/>
    <col min="4146" max="4148" width="12" bestFit="1" customWidth="1"/>
    <col min="4149" max="4150" width="11.5703125" bestFit="1" customWidth="1"/>
    <col min="4151" max="4152" width="2.28515625" customWidth="1"/>
    <col min="4153" max="4153" width="5.7109375" customWidth="1"/>
    <col min="4154" max="4154" width="26.140625" customWidth="1"/>
    <col min="4160" max="4160" width="3.28515625" customWidth="1"/>
    <col min="4396" max="4396" width="30.85546875" customWidth="1"/>
    <col min="4397" max="4397" width="2.28515625" customWidth="1"/>
    <col min="4398" max="4398" width="2.7109375" customWidth="1"/>
    <col min="4399" max="4399" width="6.85546875" customWidth="1"/>
    <col min="4400" max="4400" width="31.5703125" bestFit="1" customWidth="1"/>
    <col min="4401" max="4401" width="21.42578125" customWidth="1"/>
    <col min="4402" max="4404" width="12" bestFit="1" customWidth="1"/>
    <col min="4405" max="4406" width="11.5703125" bestFit="1" customWidth="1"/>
    <col min="4407" max="4408" width="2.28515625" customWidth="1"/>
    <col min="4409" max="4409" width="5.7109375" customWidth="1"/>
    <col min="4410" max="4410" width="26.140625" customWidth="1"/>
    <col min="4416" max="4416" width="3.28515625" customWidth="1"/>
    <col min="4652" max="4652" width="30.85546875" customWidth="1"/>
    <col min="4653" max="4653" width="2.28515625" customWidth="1"/>
    <col min="4654" max="4654" width="2.7109375" customWidth="1"/>
    <col min="4655" max="4655" width="6.85546875" customWidth="1"/>
    <col min="4656" max="4656" width="31.5703125" bestFit="1" customWidth="1"/>
    <col min="4657" max="4657" width="21.42578125" customWidth="1"/>
    <col min="4658" max="4660" width="12" bestFit="1" customWidth="1"/>
    <col min="4661" max="4662" width="11.5703125" bestFit="1" customWidth="1"/>
    <col min="4663" max="4664" width="2.28515625" customWidth="1"/>
    <col min="4665" max="4665" width="5.7109375" customWidth="1"/>
    <col min="4666" max="4666" width="26.140625" customWidth="1"/>
    <col min="4672" max="4672" width="3.28515625" customWidth="1"/>
    <col min="4908" max="4908" width="30.85546875" customWidth="1"/>
    <col min="4909" max="4909" width="2.28515625" customWidth="1"/>
    <col min="4910" max="4910" width="2.7109375" customWidth="1"/>
    <col min="4911" max="4911" width="6.85546875" customWidth="1"/>
    <col min="4912" max="4912" width="31.5703125" bestFit="1" customWidth="1"/>
    <col min="4913" max="4913" width="21.42578125" customWidth="1"/>
    <col min="4914" max="4916" width="12" bestFit="1" customWidth="1"/>
    <col min="4917" max="4918" width="11.5703125" bestFit="1" customWidth="1"/>
    <col min="4919" max="4920" width="2.28515625" customWidth="1"/>
    <col min="4921" max="4921" width="5.7109375" customWidth="1"/>
    <col min="4922" max="4922" width="26.140625" customWidth="1"/>
    <col min="4928" max="4928" width="3.28515625" customWidth="1"/>
    <col min="5164" max="5164" width="30.85546875" customWidth="1"/>
    <col min="5165" max="5165" width="2.28515625" customWidth="1"/>
    <col min="5166" max="5166" width="2.7109375" customWidth="1"/>
    <col min="5167" max="5167" width="6.85546875" customWidth="1"/>
    <col min="5168" max="5168" width="31.5703125" bestFit="1" customWidth="1"/>
    <col min="5169" max="5169" width="21.42578125" customWidth="1"/>
    <col min="5170" max="5172" width="12" bestFit="1" customWidth="1"/>
    <col min="5173" max="5174" width="11.5703125" bestFit="1" customWidth="1"/>
    <col min="5175" max="5176" width="2.28515625" customWidth="1"/>
    <col min="5177" max="5177" width="5.7109375" customWidth="1"/>
    <col min="5178" max="5178" width="26.140625" customWidth="1"/>
    <col min="5184" max="5184" width="3.28515625" customWidth="1"/>
    <col min="5420" max="5420" width="30.85546875" customWidth="1"/>
    <col min="5421" max="5421" width="2.28515625" customWidth="1"/>
    <col min="5422" max="5422" width="2.7109375" customWidth="1"/>
    <col min="5423" max="5423" width="6.85546875" customWidth="1"/>
    <col min="5424" max="5424" width="31.5703125" bestFit="1" customWidth="1"/>
    <col min="5425" max="5425" width="21.42578125" customWidth="1"/>
    <col min="5426" max="5428" width="12" bestFit="1" customWidth="1"/>
    <col min="5429" max="5430" width="11.5703125" bestFit="1" customWidth="1"/>
    <col min="5431" max="5432" width="2.28515625" customWidth="1"/>
    <col min="5433" max="5433" width="5.7109375" customWidth="1"/>
    <col min="5434" max="5434" width="26.140625" customWidth="1"/>
    <col min="5440" max="5440" width="3.28515625" customWidth="1"/>
    <col min="5676" max="5676" width="30.85546875" customWidth="1"/>
    <col min="5677" max="5677" width="2.28515625" customWidth="1"/>
    <col min="5678" max="5678" width="2.7109375" customWidth="1"/>
    <col min="5679" max="5679" width="6.85546875" customWidth="1"/>
    <col min="5680" max="5680" width="31.5703125" bestFit="1" customWidth="1"/>
    <col min="5681" max="5681" width="21.42578125" customWidth="1"/>
    <col min="5682" max="5684" width="12" bestFit="1" customWidth="1"/>
    <col min="5685" max="5686" width="11.5703125" bestFit="1" customWidth="1"/>
    <col min="5687" max="5688" width="2.28515625" customWidth="1"/>
    <col min="5689" max="5689" width="5.7109375" customWidth="1"/>
    <col min="5690" max="5690" width="26.140625" customWidth="1"/>
    <col min="5696" max="5696" width="3.28515625" customWidth="1"/>
    <col min="5932" max="5932" width="30.85546875" customWidth="1"/>
    <col min="5933" max="5933" width="2.28515625" customWidth="1"/>
    <col min="5934" max="5934" width="2.7109375" customWidth="1"/>
    <col min="5935" max="5935" width="6.85546875" customWidth="1"/>
    <col min="5936" max="5936" width="31.5703125" bestFit="1" customWidth="1"/>
    <col min="5937" max="5937" width="21.42578125" customWidth="1"/>
    <col min="5938" max="5940" width="12" bestFit="1" customWidth="1"/>
    <col min="5941" max="5942" width="11.5703125" bestFit="1" customWidth="1"/>
    <col min="5943" max="5944" width="2.28515625" customWidth="1"/>
    <col min="5945" max="5945" width="5.7109375" customWidth="1"/>
    <col min="5946" max="5946" width="26.140625" customWidth="1"/>
    <col min="5952" max="5952" width="3.28515625" customWidth="1"/>
    <col min="6188" max="6188" width="30.85546875" customWidth="1"/>
    <col min="6189" max="6189" width="2.28515625" customWidth="1"/>
    <col min="6190" max="6190" width="2.7109375" customWidth="1"/>
    <col min="6191" max="6191" width="6.85546875" customWidth="1"/>
    <col min="6192" max="6192" width="31.5703125" bestFit="1" customWidth="1"/>
    <col min="6193" max="6193" width="21.42578125" customWidth="1"/>
    <col min="6194" max="6196" width="12" bestFit="1" customWidth="1"/>
    <col min="6197" max="6198" width="11.5703125" bestFit="1" customWidth="1"/>
    <col min="6199" max="6200" width="2.28515625" customWidth="1"/>
    <col min="6201" max="6201" width="5.7109375" customWidth="1"/>
    <col min="6202" max="6202" width="26.140625" customWidth="1"/>
    <col min="6208" max="6208" width="3.28515625" customWidth="1"/>
    <col min="6444" max="6444" width="30.85546875" customWidth="1"/>
    <col min="6445" max="6445" width="2.28515625" customWidth="1"/>
    <col min="6446" max="6446" width="2.7109375" customWidth="1"/>
    <col min="6447" max="6447" width="6.85546875" customWidth="1"/>
    <col min="6448" max="6448" width="31.5703125" bestFit="1" customWidth="1"/>
    <col min="6449" max="6449" width="21.42578125" customWidth="1"/>
    <col min="6450" max="6452" width="12" bestFit="1" customWidth="1"/>
    <col min="6453" max="6454" width="11.5703125" bestFit="1" customWidth="1"/>
    <col min="6455" max="6456" width="2.28515625" customWidth="1"/>
    <col min="6457" max="6457" width="5.7109375" customWidth="1"/>
    <col min="6458" max="6458" width="26.140625" customWidth="1"/>
    <col min="6464" max="6464" width="3.28515625" customWidth="1"/>
    <col min="6700" max="6700" width="30.85546875" customWidth="1"/>
    <col min="6701" max="6701" width="2.28515625" customWidth="1"/>
    <col min="6702" max="6702" width="2.7109375" customWidth="1"/>
    <col min="6703" max="6703" width="6.85546875" customWidth="1"/>
    <col min="6704" max="6704" width="31.5703125" bestFit="1" customWidth="1"/>
    <col min="6705" max="6705" width="21.42578125" customWidth="1"/>
    <col min="6706" max="6708" width="12" bestFit="1" customWidth="1"/>
    <col min="6709" max="6710" width="11.5703125" bestFit="1" customWidth="1"/>
    <col min="6711" max="6712" width="2.28515625" customWidth="1"/>
    <col min="6713" max="6713" width="5.7109375" customWidth="1"/>
    <col min="6714" max="6714" width="26.140625" customWidth="1"/>
    <col min="6720" max="6720" width="3.28515625" customWidth="1"/>
    <col min="6956" max="6956" width="30.85546875" customWidth="1"/>
    <col min="6957" max="6957" width="2.28515625" customWidth="1"/>
    <col min="6958" max="6958" width="2.7109375" customWidth="1"/>
    <col min="6959" max="6959" width="6.85546875" customWidth="1"/>
    <col min="6960" max="6960" width="31.5703125" bestFit="1" customWidth="1"/>
    <col min="6961" max="6961" width="21.42578125" customWidth="1"/>
    <col min="6962" max="6964" width="12" bestFit="1" customWidth="1"/>
    <col min="6965" max="6966" width="11.5703125" bestFit="1" customWidth="1"/>
    <col min="6967" max="6968" width="2.28515625" customWidth="1"/>
    <col min="6969" max="6969" width="5.7109375" customWidth="1"/>
    <col min="6970" max="6970" width="26.140625" customWidth="1"/>
    <col min="6976" max="6976" width="3.28515625" customWidth="1"/>
    <col min="7212" max="7212" width="30.85546875" customWidth="1"/>
    <col min="7213" max="7213" width="2.28515625" customWidth="1"/>
    <col min="7214" max="7214" width="2.7109375" customWidth="1"/>
    <col min="7215" max="7215" width="6.85546875" customWidth="1"/>
    <col min="7216" max="7216" width="31.5703125" bestFit="1" customWidth="1"/>
    <col min="7217" max="7217" width="21.42578125" customWidth="1"/>
    <col min="7218" max="7220" width="12" bestFit="1" customWidth="1"/>
    <col min="7221" max="7222" width="11.5703125" bestFit="1" customWidth="1"/>
    <col min="7223" max="7224" width="2.28515625" customWidth="1"/>
    <col min="7225" max="7225" width="5.7109375" customWidth="1"/>
    <col min="7226" max="7226" width="26.140625" customWidth="1"/>
    <col min="7232" max="7232" width="3.28515625" customWidth="1"/>
    <col min="7468" max="7468" width="30.85546875" customWidth="1"/>
    <col min="7469" max="7469" width="2.28515625" customWidth="1"/>
    <col min="7470" max="7470" width="2.7109375" customWidth="1"/>
    <col min="7471" max="7471" width="6.85546875" customWidth="1"/>
    <col min="7472" max="7472" width="31.5703125" bestFit="1" customWidth="1"/>
    <col min="7473" max="7473" width="21.42578125" customWidth="1"/>
    <col min="7474" max="7476" width="12" bestFit="1" customWidth="1"/>
    <col min="7477" max="7478" width="11.5703125" bestFit="1" customWidth="1"/>
    <col min="7479" max="7480" width="2.28515625" customWidth="1"/>
    <col min="7481" max="7481" width="5.7109375" customWidth="1"/>
    <col min="7482" max="7482" width="26.140625" customWidth="1"/>
    <col min="7488" max="7488" width="3.28515625" customWidth="1"/>
    <col min="7724" max="7724" width="30.85546875" customWidth="1"/>
    <col min="7725" max="7725" width="2.28515625" customWidth="1"/>
    <col min="7726" max="7726" width="2.7109375" customWidth="1"/>
    <col min="7727" max="7727" width="6.85546875" customWidth="1"/>
    <col min="7728" max="7728" width="31.5703125" bestFit="1" customWidth="1"/>
    <col min="7729" max="7729" width="21.42578125" customWidth="1"/>
    <col min="7730" max="7732" width="12" bestFit="1" customWidth="1"/>
    <col min="7733" max="7734" width="11.5703125" bestFit="1" customWidth="1"/>
    <col min="7735" max="7736" width="2.28515625" customWidth="1"/>
    <col min="7737" max="7737" width="5.7109375" customWidth="1"/>
    <col min="7738" max="7738" width="26.140625" customWidth="1"/>
    <col min="7744" max="7744" width="3.28515625" customWidth="1"/>
    <col min="7980" max="7980" width="30.85546875" customWidth="1"/>
    <col min="7981" max="7981" width="2.28515625" customWidth="1"/>
    <col min="7982" max="7982" width="2.7109375" customWidth="1"/>
    <col min="7983" max="7983" width="6.85546875" customWidth="1"/>
    <col min="7984" max="7984" width="31.5703125" bestFit="1" customWidth="1"/>
    <col min="7985" max="7985" width="21.42578125" customWidth="1"/>
    <col min="7986" max="7988" width="12" bestFit="1" customWidth="1"/>
    <col min="7989" max="7990" width="11.5703125" bestFit="1" customWidth="1"/>
    <col min="7991" max="7992" width="2.28515625" customWidth="1"/>
    <col min="7993" max="7993" width="5.7109375" customWidth="1"/>
    <col min="7994" max="7994" width="26.140625" customWidth="1"/>
    <col min="8000" max="8000" width="3.28515625" customWidth="1"/>
    <col min="8236" max="8236" width="30.85546875" customWidth="1"/>
    <col min="8237" max="8237" width="2.28515625" customWidth="1"/>
    <col min="8238" max="8238" width="2.7109375" customWidth="1"/>
    <col min="8239" max="8239" width="6.85546875" customWidth="1"/>
    <col min="8240" max="8240" width="31.5703125" bestFit="1" customWidth="1"/>
    <col min="8241" max="8241" width="21.42578125" customWidth="1"/>
    <col min="8242" max="8244" width="12" bestFit="1" customWidth="1"/>
    <col min="8245" max="8246" width="11.5703125" bestFit="1" customWidth="1"/>
    <col min="8247" max="8248" width="2.28515625" customWidth="1"/>
    <col min="8249" max="8249" width="5.7109375" customWidth="1"/>
    <col min="8250" max="8250" width="26.140625" customWidth="1"/>
    <col min="8256" max="8256" width="3.28515625" customWidth="1"/>
    <col min="8492" max="8492" width="30.85546875" customWidth="1"/>
    <col min="8493" max="8493" width="2.28515625" customWidth="1"/>
    <col min="8494" max="8494" width="2.7109375" customWidth="1"/>
    <col min="8495" max="8495" width="6.85546875" customWidth="1"/>
    <col min="8496" max="8496" width="31.5703125" bestFit="1" customWidth="1"/>
    <col min="8497" max="8497" width="21.42578125" customWidth="1"/>
    <col min="8498" max="8500" width="12" bestFit="1" customWidth="1"/>
    <col min="8501" max="8502" width="11.5703125" bestFit="1" customWidth="1"/>
    <col min="8503" max="8504" width="2.28515625" customWidth="1"/>
    <col min="8505" max="8505" width="5.7109375" customWidth="1"/>
    <col min="8506" max="8506" width="26.140625" customWidth="1"/>
    <col min="8512" max="8512" width="3.28515625" customWidth="1"/>
    <col min="8748" max="8748" width="30.85546875" customWidth="1"/>
    <col min="8749" max="8749" width="2.28515625" customWidth="1"/>
    <col min="8750" max="8750" width="2.7109375" customWidth="1"/>
    <col min="8751" max="8751" width="6.85546875" customWidth="1"/>
    <col min="8752" max="8752" width="31.5703125" bestFit="1" customWidth="1"/>
    <col min="8753" max="8753" width="21.42578125" customWidth="1"/>
    <col min="8754" max="8756" width="12" bestFit="1" customWidth="1"/>
    <col min="8757" max="8758" width="11.5703125" bestFit="1" customWidth="1"/>
    <col min="8759" max="8760" width="2.28515625" customWidth="1"/>
    <col min="8761" max="8761" width="5.7109375" customWidth="1"/>
    <col min="8762" max="8762" width="26.140625" customWidth="1"/>
    <col min="8768" max="8768" width="3.28515625" customWidth="1"/>
    <col min="9004" max="9004" width="30.85546875" customWidth="1"/>
    <col min="9005" max="9005" width="2.28515625" customWidth="1"/>
    <col min="9006" max="9006" width="2.7109375" customWidth="1"/>
    <col min="9007" max="9007" width="6.85546875" customWidth="1"/>
    <col min="9008" max="9008" width="31.5703125" bestFit="1" customWidth="1"/>
    <col min="9009" max="9009" width="21.42578125" customWidth="1"/>
    <col min="9010" max="9012" width="12" bestFit="1" customWidth="1"/>
    <col min="9013" max="9014" width="11.5703125" bestFit="1" customWidth="1"/>
    <col min="9015" max="9016" width="2.28515625" customWidth="1"/>
    <col min="9017" max="9017" width="5.7109375" customWidth="1"/>
    <col min="9018" max="9018" width="26.140625" customWidth="1"/>
    <col min="9024" max="9024" width="3.28515625" customWidth="1"/>
    <col min="9260" max="9260" width="30.85546875" customWidth="1"/>
    <col min="9261" max="9261" width="2.28515625" customWidth="1"/>
    <col min="9262" max="9262" width="2.7109375" customWidth="1"/>
    <col min="9263" max="9263" width="6.85546875" customWidth="1"/>
    <col min="9264" max="9264" width="31.5703125" bestFit="1" customWidth="1"/>
    <col min="9265" max="9265" width="21.42578125" customWidth="1"/>
    <col min="9266" max="9268" width="12" bestFit="1" customWidth="1"/>
    <col min="9269" max="9270" width="11.5703125" bestFit="1" customWidth="1"/>
    <col min="9271" max="9272" width="2.28515625" customWidth="1"/>
    <col min="9273" max="9273" width="5.7109375" customWidth="1"/>
    <col min="9274" max="9274" width="26.140625" customWidth="1"/>
    <col min="9280" max="9280" width="3.28515625" customWidth="1"/>
    <col min="9516" max="9516" width="30.85546875" customWidth="1"/>
    <col min="9517" max="9517" width="2.28515625" customWidth="1"/>
    <col min="9518" max="9518" width="2.7109375" customWidth="1"/>
    <col min="9519" max="9519" width="6.85546875" customWidth="1"/>
    <col min="9520" max="9520" width="31.5703125" bestFit="1" customWidth="1"/>
    <col min="9521" max="9521" width="21.42578125" customWidth="1"/>
    <col min="9522" max="9524" width="12" bestFit="1" customWidth="1"/>
    <col min="9525" max="9526" width="11.5703125" bestFit="1" customWidth="1"/>
    <col min="9527" max="9528" width="2.28515625" customWidth="1"/>
    <col min="9529" max="9529" width="5.7109375" customWidth="1"/>
    <col min="9530" max="9530" width="26.140625" customWidth="1"/>
    <col min="9536" max="9536" width="3.28515625" customWidth="1"/>
    <col min="9772" max="9772" width="30.85546875" customWidth="1"/>
    <col min="9773" max="9773" width="2.28515625" customWidth="1"/>
    <col min="9774" max="9774" width="2.7109375" customWidth="1"/>
    <col min="9775" max="9775" width="6.85546875" customWidth="1"/>
    <col min="9776" max="9776" width="31.5703125" bestFit="1" customWidth="1"/>
    <col min="9777" max="9777" width="21.42578125" customWidth="1"/>
    <col min="9778" max="9780" width="12" bestFit="1" customWidth="1"/>
    <col min="9781" max="9782" width="11.5703125" bestFit="1" customWidth="1"/>
    <col min="9783" max="9784" width="2.28515625" customWidth="1"/>
    <col min="9785" max="9785" width="5.7109375" customWidth="1"/>
    <col min="9786" max="9786" width="26.140625" customWidth="1"/>
    <col min="9792" max="9792" width="3.28515625" customWidth="1"/>
    <col min="10028" max="10028" width="30.85546875" customWidth="1"/>
    <col min="10029" max="10029" width="2.28515625" customWidth="1"/>
    <col min="10030" max="10030" width="2.7109375" customWidth="1"/>
    <col min="10031" max="10031" width="6.85546875" customWidth="1"/>
    <col min="10032" max="10032" width="31.5703125" bestFit="1" customWidth="1"/>
    <col min="10033" max="10033" width="21.42578125" customWidth="1"/>
    <col min="10034" max="10036" width="12" bestFit="1" customWidth="1"/>
    <col min="10037" max="10038" width="11.5703125" bestFit="1" customWidth="1"/>
    <col min="10039" max="10040" width="2.28515625" customWidth="1"/>
    <col min="10041" max="10041" width="5.7109375" customWidth="1"/>
    <col min="10042" max="10042" width="26.140625" customWidth="1"/>
    <col min="10048" max="10048" width="3.28515625" customWidth="1"/>
    <col min="10284" max="10284" width="30.85546875" customWidth="1"/>
    <col min="10285" max="10285" width="2.28515625" customWidth="1"/>
    <col min="10286" max="10286" width="2.7109375" customWidth="1"/>
    <col min="10287" max="10287" width="6.85546875" customWidth="1"/>
    <col min="10288" max="10288" width="31.5703125" bestFit="1" customWidth="1"/>
    <col min="10289" max="10289" width="21.42578125" customWidth="1"/>
    <col min="10290" max="10292" width="12" bestFit="1" customWidth="1"/>
    <col min="10293" max="10294" width="11.5703125" bestFit="1" customWidth="1"/>
    <col min="10295" max="10296" width="2.28515625" customWidth="1"/>
    <col min="10297" max="10297" width="5.7109375" customWidth="1"/>
    <col min="10298" max="10298" width="26.140625" customWidth="1"/>
    <col min="10304" max="10304" width="3.28515625" customWidth="1"/>
    <col min="10540" max="10540" width="30.85546875" customWidth="1"/>
    <col min="10541" max="10541" width="2.28515625" customWidth="1"/>
    <col min="10542" max="10542" width="2.7109375" customWidth="1"/>
    <col min="10543" max="10543" width="6.85546875" customWidth="1"/>
    <col min="10544" max="10544" width="31.5703125" bestFit="1" customWidth="1"/>
    <col min="10545" max="10545" width="21.42578125" customWidth="1"/>
    <col min="10546" max="10548" width="12" bestFit="1" customWidth="1"/>
    <col min="10549" max="10550" width="11.5703125" bestFit="1" customWidth="1"/>
    <col min="10551" max="10552" width="2.28515625" customWidth="1"/>
    <col min="10553" max="10553" width="5.7109375" customWidth="1"/>
    <col min="10554" max="10554" width="26.140625" customWidth="1"/>
    <col min="10560" max="10560" width="3.28515625" customWidth="1"/>
    <col min="10796" max="10796" width="30.85546875" customWidth="1"/>
    <col min="10797" max="10797" width="2.28515625" customWidth="1"/>
    <col min="10798" max="10798" width="2.7109375" customWidth="1"/>
    <col min="10799" max="10799" width="6.85546875" customWidth="1"/>
    <col min="10800" max="10800" width="31.5703125" bestFit="1" customWidth="1"/>
    <col min="10801" max="10801" width="21.42578125" customWidth="1"/>
    <col min="10802" max="10804" width="12" bestFit="1" customWidth="1"/>
    <col min="10805" max="10806" width="11.5703125" bestFit="1" customWidth="1"/>
    <col min="10807" max="10808" width="2.28515625" customWidth="1"/>
    <col min="10809" max="10809" width="5.7109375" customWidth="1"/>
    <col min="10810" max="10810" width="26.140625" customWidth="1"/>
    <col min="10816" max="10816" width="3.28515625" customWidth="1"/>
    <col min="11052" max="11052" width="30.85546875" customWidth="1"/>
    <col min="11053" max="11053" width="2.28515625" customWidth="1"/>
    <col min="11054" max="11054" width="2.7109375" customWidth="1"/>
    <col min="11055" max="11055" width="6.85546875" customWidth="1"/>
    <col min="11056" max="11056" width="31.5703125" bestFit="1" customWidth="1"/>
    <col min="11057" max="11057" width="21.42578125" customWidth="1"/>
    <col min="11058" max="11060" width="12" bestFit="1" customWidth="1"/>
    <col min="11061" max="11062" width="11.5703125" bestFit="1" customWidth="1"/>
    <col min="11063" max="11064" width="2.28515625" customWidth="1"/>
    <col min="11065" max="11065" width="5.7109375" customWidth="1"/>
    <col min="11066" max="11066" width="26.140625" customWidth="1"/>
    <col min="11072" max="11072" width="3.28515625" customWidth="1"/>
    <col min="11308" max="11308" width="30.85546875" customWidth="1"/>
    <col min="11309" max="11309" width="2.28515625" customWidth="1"/>
    <col min="11310" max="11310" width="2.7109375" customWidth="1"/>
    <col min="11311" max="11311" width="6.85546875" customWidth="1"/>
    <col min="11312" max="11312" width="31.5703125" bestFit="1" customWidth="1"/>
    <col min="11313" max="11313" width="21.42578125" customWidth="1"/>
    <col min="11314" max="11316" width="12" bestFit="1" customWidth="1"/>
    <col min="11317" max="11318" width="11.5703125" bestFit="1" customWidth="1"/>
    <col min="11319" max="11320" width="2.28515625" customWidth="1"/>
    <col min="11321" max="11321" width="5.7109375" customWidth="1"/>
    <col min="11322" max="11322" width="26.140625" customWidth="1"/>
    <col min="11328" max="11328" width="3.28515625" customWidth="1"/>
    <col min="11564" max="11564" width="30.85546875" customWidth="1"/>
    <col min="11565" max="11565" width="2.28515625" customWidth="1"/>
    <col min="11566" max="11566" width="2.7109375" customWidth="1"/>
    <col min="11567" max="11567" width="6.85546875" customWidth="1"/>
    <col min="11568" max="11568" width="31.5703125" bestFit="1" customWidth="1"/>
    <col min="11569" max="11569" width="21.42578125" customWidth="1"/>
    <col min="11570" max="11572" width="12" bestFit="1" customWidth="1"/>
    <col min="11573" max="11574" width="11.5703125" bestFit="1" customWidth="1"/>
    <col min="11575" max="11576" width="2.28515625" customWidth="1"/>
    <col min="11577" max="11577" width="5.7109375" customWidth="1"/>
    <col min="11578" max="11578" width="26.140625" customWidth="1"/>
    <col min="11584" max="11584" width="3.28515625" customWidth="1"/>
    <col min="11820" max="11820" width="30.85546875" customWidth="1"/>
    <col min="11821" max="11821" width="2.28515625" customWidth="1"/>
    <col min="11822" max="11822" width="2.7109375" customWidth="1"/>
    <col min="11823" max="11823" width="6.85546875" customWidth="1"/>
    <col min="11824" max="11824" width="31.5703125" bestFit="1" customWidth="1"/>
    <col min="11825" max="11825" width="21.42578125" customWidth="1"/>
    <col min="11826" max="11828" width="12" bestFit="1" customWidth="1"/>
    <col min="11829" max="11830" width="11.5703125" bestFit="1" customWidth="1"/>
    <col min="11831" max="11832" width="2.28515625" customWidth="1"/>
    <col min="11833" max="11833" width="5.7109375" customWidth="1"/>
    <col min="11834" max="11834" width="26.140625" customWidth="1"/>
    <col min="11840" max="11840" width="3.28515625" customWidth="1"/>
    <col min="12076" max="12076" width="30.85546875" customWidth="1"/>
    <col min="12077" max="12077" width="2.28515625" customWidth="1"/>
    <col min="12078" max="12078" width="2.7109375" customWidth="1"/>
    <col min="12079" max="12079" width="6.85546875" customWidth="1"/>
    <col min="12080" max="12080" width="31.5703125" bestFit="1" customWidth="1"/>
    <col min="12081" max="12081" width="21.42578125" customWidth="1"/>
    <col min="12082" max="12084" width="12" bestFit="1" customWidth="1"/>
    <col min="12085" max="12086" width="11.5703125" bestFit="1" customWidth="1"/>
    <col min="12087" max="12088" width="2.28515625" customWidth="1"/>
    <col min="12089" max="12089" width="5.7109375" customWidth="1"/>
    <col min="12090" max="12090" width="26.140625" customWidth="1"/>
    <col min="12096" max="12096" width="3.28515625" customWidth="1"/>
    <col min="12332" max="12332" width="30.85546875" customWidth="1"/>
    <col min="12333" max="12333" width="2.28515625" customWidth="1"/>
    <col min="12334" max="12334" width="2.7109375" customWidth="1"/>
    <col min="12335" max="12335" width="6.85546875" customWidth="1"/>
    <col min="12336" max="12336" width="31.5703125" bestFit="1" customWidth="1"/>
    <col min="12337" max="12337" width="21.42578125" customWidth="1"/>
    <col min="12338" max="12340" width="12" bestFit="1" customWidth="1"/>
    <col min="12341" max="12342" width="11.5703125" bestFit="1" customWidth="1"/>
    <col min="12343" max="12344" width="2.28515625" customWidth="1"/>
    <col min="12345" max="12345" width="5.7109375" customWidth="1"/>
    <col min="12346" max="12346" width="26.140625" customWidth="1"/>
    <col min="12352" max="12352" width="3.28515625" customWidth="1"/>
    <col min="12588" max="12588" width="30.85546875" customWidth="1"/>
    <col min="12589" max="12589" width="2.28515625" customWidth="1"/>
    <col min="12590" max="12590" width="2.7109375" customWidth="1"/>
    <col min="12591" max="12591" width="6.85546875" customWidth="1"/>
    <col min="12592" max="12592" width="31.5703125" bestFit="1" customWidth="1"/>
    <col min="12593" max="12593" width="21.42578125" customWidth="1"/>
    <col min="12594" max="12596" width="12" bestFit="1" customWidth="1"/>
    <col min="12597" max="12598" width="11.5703125" bestFit="1" customWidth="1"/>
    <col min="12599" max="12600" width="2.28515625" customWidth="1"/>
    <col min="12601" max="12601" width="5.7109375" customWidth="1"/>
    <col min="12602" max="12602" width="26.140625" customWidth="1"/>
    <col min="12608" max="12608" width="3.28515625" customWidth="1"/>
    <col min="12844" max="12844" width="30.85546875" customWidth="1"/>
    <col min="12845" max="12845" width="2.28515625" customWidth="1"/>
    <col min="12846" max="12846" width="2.7109375" customWidth="1"/>
    <col min="12847" max="12847" width="6.85546875" customWidth="1"/>
    <col min="12848" max="12848" width="31.5703125" bestFit="1" customWidth="1"/>
    <col min="12849" max="12849" width="21.42578125" customWidth="1"/>
    <col min="12850" max="12852" width="12" bestFit="1" customWidth="1"/>
    <col min="12853" max="12854" width="11.5703125" bestFit="1" customWidth="1"/>
    <col min="12855" max="12856" width="2.28515625" customWidth="1"/>
    <col min="12857" max="12857" width="5.7109375" customWidth="1"/>
    <col min="12858" max="12858" width="26.140625" customWidth="1"/>
    <col min="12864" max="12864" width="3.28515625" customWidth="1"/>
    <col min="13100" max="13100" width="30.85546875" customWidth="1"/>
    <col min="13101" max="13101" width="2.28515625" customWidth="1"/>
    <col min="13102" max="13102" width="2.7109375" customWidth="1"/>
    <col min="13103" max="13103" width="6.85546875" customWidth="1"/>
    <col min="13104" max="13104" width="31.5703125" bestFit="1" customWidth="1"/>
    <col min="13105" max="13105" width="21.42578125" customWidth="1"/>
    <col min="13106" max="13108" width="12" bestFit="1" customWidth="1"/>
    <col min="13109" max="13110" width="11.5703125" bestFit="1" customWidth="1"/>
    <col min="13111" max="13112" width="2.28515625" customWidth="1"/>
    <col min="13113" max="13113" width="5.7109375" customWidth="1"/>
    <col min="13114" max="13114" width="26.140625" customWidth="1"/>
    <col min="13120" max="13120" width="3.28515625" customWidth="1"/>
    <col min="13356" max="13356" width="30.85546875" customWidth="1"/>
    <col min="13357" max="13357" width="2.28515625" customWidth="1"/>
    <col min="13358" max="13358" width="2.7109375" customWidth="1"/>
    <col min="13359" max="13359" width="6.85546875" customWidth="1"/>
    <col min="13360" max="13360" width="31.5703125" bestFit="1" customWidth="1"/>
    <col min="13361" max="13361" width="21.42578125" customWidth="1"/>
    <col min="13362" max="13364" width="12" bestFit="1" customWidth="1"/>
    <col min="13365" max="13366" width="11.5703125" bestFit="1" customWidth="1"/>
    <col min="13367" max="13368" width="2.28515625" customWidth="1"/>
    <col min="13369" max="13369" width="5.7109375" customWidth="1"/>
    <col min="13370" max="13370" width="26.140625" customWidth="1"/>
    <col min="13376" max="13376" width="3.28515625" customWidth="1"/>
    <col min="13612" max="13612" width="30.85546875" customWidth="1"/>
    <col min="13613" max="13613" width="2.28515625" customWidth="1"/>
    <col min="13614" max="13614" width="2.7109375" customWidth="1"/>
    <col min="13615" max="13615" width="6.85546875" customWidth="1"/>
    <col min="13616" max="13616" width="31.5703125" bestFit="1" customWidth="1"/>
    <col min="13617" max="13617" width="21.42578125" customWidth="1"/>
    <col min="13618" max="13620" width="12" bestFit="1" customWidth="1"/>
    <col min="13621" max="13622" width="11.5703125" bestFit="1" customWidth="1"/>
    <col min="13623" max="13624" width="2.28515625" customWidth="1"/>
    <col min="13625" max="13625" width="5.7109375" customWidth="1"/>
    <col min="13626" max="13626" width="26.140625" customWidth="1"/>
    <col min="13632" max="13632" width="3.28515625" customWidth="1"/>
    <col min="13868" max="13868" width="30.85546875" customWidth="1"/>
    <col min="13869" max="13869" width="2.28515625" customWidth="1"/>
    <col min="13870" max="13870" width="2.7109375" customWidth="1"/>
    <col min="13871" max="13871" width="6.85546875" customWidth="1"/>
    <col min="13872" max="13872" width="31.5703125" bestFit="1" customWidth="1"/>
    <col min="13873" max="13873" width="21.42578125" customWidth="1"/>
    <col min="13874" max="13876" width="12" bestFit="1" customWidth="1"/>
    <col min="13877" max="13878" width="11.5703125" bestFit="1" customWidth="1"/>
    <col min="13879" max="13880" width="2.28515625" customWidth="1"/>
    <col min="13881" max="13881" width="5.7109375" customWidth="1"/>
    <col min="13882" max="13882" width="26.140625" customWidth="1"/>
    <col min="13888" max="13888" width="3.28515625" customWidth="1"/>
    <col min="14124" max="14124" width="30.85546875" customWidth="1"/>
    <col min="14125" max="14125" width="2.28515625" customWidth="1"/>
    <col min="14126" max="14126" width="2.7109375" customWidth="1"/>
    <col min="14127" max="14127" width="6.85546875" customWidth="1"/>
    <col min="14128" max="14128" width="31.5703125" bestFit="1" customWidth="1"/>
    <col min="14129" max="14129" width="21.42578125" customWidth="1"/>
    <col min="14130" max="14132" width="12" bestFit="1" customWidth="1"/>
    <col min="14133" max="14134" width="11.5703125" bestFit="1" customWidth="1"/>
    <col min="14135" max="14136" width="2.28515625" customWidth="1"/>
    <col min="14137" max="14137" width="5.7109375" customWidth="1"/>
    <col min="14138" max="14138" width="26.140625" customWidth="1"/>
    <col min="14144" max="14144" width="3.28515625" customWidth="1"/>
    <col min="14380" max="14380" width="30.85546875" customWidth="1"/>
    <col min="14381" max="14381" width="2.28515625" customWidth="1"/>
    <col min="14382" max="14382" width="2.7109375" customWidth="1"/>
    <col min="14383" max="14383" width="6.85546875" customWidth="1"/>
    <col min="14384" max="14384" width="31.5703125" bestFit="1" customWidth="1"/>
    <col min="14385" max="14385" width="21.42578125" customWidth="1"/>
    <col min="14386" max="14388" width="12" bestFit="1" customWidth="1"/>
    <col min="14389" max="14390" width="11.5703125" bestFit="1" customWidth="1"/>
    <col min="14391" max="14392" width="2.28515625" customWidth="1"/>
    <col min="14393" max="14393" width="5.7109375" customWidth="1"/>
    <col min="14394" max="14394" width="26.140625" customWidth="1"/>
    <col min="14400" max="14400" width="3.28515625" customWidth="1"/>
    <col min="14636" max="14636" width="30.85546875" customWidth="1"/>
    <col min="14637" max="14637" width="2.28515625" customWidth="1"/>
    <col min="14638" max="14638" width="2.7109375" customWidth="1"/>
    <col min="14639" max="14639" width="6.85546875" customWidth="1"/>
    <col min="14640" max="14640" width="31.5703125" bestFit="1" customWidth="1"/>
    <col min="14641" max="14641" width="21.42578125" customWidth="1"/>
    <col min="14642" max="14644" width="12" bestFit="1" customWidth="1"/>
    <col min="14645" max="14646" width="11.5703125" bestFit="1" customWidth="1"/>
    <col min="14647" max="14648" width="2.28515625" customWidth="1"/>
    <col min="14649" max="14649" width="5.7109375" customWidth="1"/>
    <col min="14650" max="14650" width="26.140625" customWidth="1"/>
    <col min="14656" max="14656" width="3.28515625" customWidth="1"/>
    <col min="14892" max="14892" width="30.85546875" customWidth="1"/>
    <col min="14893" max="14893" width="2.28515625" customWidth="1"/>
    <col min="14894" max="14894" width="2.7109375" customWidth="1"/>
    <col min="14895" max="14895" width="6.85546875" customWidth="1"/>
    <col min="14896" max="14896" width="31.5703125" bestFit="1" customWidth="1"/>
    <col min="14897" max="14897" width="21.42578125" customWidth="1"/>
    <col min="14898" max="14900" width="12" bestFit="1" customWidth="1"/>
    <col min="14901" max="14902" width="11.5703125" bestFit="1" customWidth="1"/>
    <col min="14903" max="14904" width="2.28515625" customWidth="1"/>
    <col min="14905" max="14905" width="5.7109375" customWidth="1"/>
    <col min="14906" max="14906" width="26.140625" customWidth="1"/>
    <col min="14912" max="14912" width="3.28515625" customWidth="1"/>
    <col min="15148" max="15148" width="30.85546875" customWidth="1"/>
    <col min="15149" max="15149" width="2.28515625" customWidth="1"/>
    <col min="15150" max="15150" width="2.7109375" customWidth="1"/>
    <col min="15151" max="15151" width="6.85546875" customWidth="1"/>
    <col min="15152" max="15152" width="31.5703125" bestFit="1" customWidth="1"/>
    <col min="15153" max="15153" width="21.42578125" customWidth="1"/>
    <col min="15154" max="15156" width="12" bestFit="1" customWidth="1"/>
    <col min="15157" max="15158" width="11.5703125" bestFit="1" customWidth="1"/>
    <col min="15159" max="15160" width="2.28515625" customWidth="1"/>
    <col min="15161" max="15161" width="5.7109375" customWidth="1"/>
    <col min="15162" max="15162" width="26.140625" customWidth="1"/>
    <col min="15168" max="15168" width="3.28515625" customWidth="1"/>
    <col min="15404" max="15404" width="30.85546875" customWidth="1"/>
    <col min="15405" max="15405" width="2.28515625" customWidth="1"/>
    <col min="15406" max="15406" width="2.7109375" customWidth="1"/>
    <col min="15407" max="15407" width="6.85546875" customWidth="1"/>
    <col min="15408" max="15408" width="31.5703125" bestFit="1" customWidth="1"/>
    <col min="15409" max="15409" width="21.42578125" customWidth="1"/>
    <col min="15410" max="15412" width="12" bestFit="1" customWidth="1"/>
    <col min="15413" max="15414" width="11.5703125" bestFit="1" customWidth="1"/>
    <col min="15415" max="15416" width="2.28515625" customWidth="1"/>
    <col min="15417" max="15417" width="5.7109375" customWidth="1"/>
    <col min="15418" max="15418" width="26.140625" customWidth="1"/>
    <col min="15424" max="15424" width="3.28515625" customWidth="1"/>
    <col min="15660" max="15660" width="30.85546875" customWidth="1"/>
    <col min="15661" max="15661" width="2.28515625" customWidth="1"/>
    <col min="15662" max="15662" width="2.7109375" customWidth="1"/>
    <col min="15663" max="15663" width="6.85546875" customWidth="1"/>
    <col min="15664" max="15664" width="31.5703125" bestFit="1" customWidth="1"/>
    <col min="15665" max="15665" width="21.42578125" customWidth="1"/>
    <col min="15666" max="15668" width="12" bestFit="1" customWidth="1"/>
    <col min="15669" max="15670" width="11.5703125" bestFit="1" customWidth="1"/>
    <col min="15671" max="15672" width="2.28515625" customWidth="1"/>
    <col min="15673" max="15673" width="5.7109375" customWidth="1"/>
    <col min="15674" max="15674" width="26.140625" customWidth="1"/>
    <col min="15680" max="15680" width="3.28515625" customWidth="1"/>
    <col min="15916" max="15916" width="30.85546875" customWidth="1"/>
    <col min="15917" max="15917" width="2.28515625" customWidth="1"/>
    <col min="15918" max="15918" width="2.7109375" customWidth="1"/>
    <col min="15919" max="15919" width="6.85546875" customWidth="1"/>
    <col min="15920" max="15920" width="31.5703125" bestFit="1" customWidth="1"/>
    <col min="15921" max="15921" width="21.42578125" customWidth="1"/>
    <col min="15922" max="15924" width="12" bestFit="1" customWidth="1"/>
    <col min="15925" max="15926" width="11.5703125" bestFit="1" customWidth="1"/>
    <col min="15927" max="15928" width="2.28515625" customWidth="1"/>
    <col min="15929" max="15929" width="5.7109375" customWidth="1"/>
    <col min="15930" max="15930" width="26.140625" customWidth="1"/>
    <col min="15936" max="15936" width="3.28515625" customWidth="1"/>
    <col min="16172" max="16172" width="30.85546875" customWidth="1"/>
    <col min="16173" max="16173" width="2.28515625" customWidth="1"/>
    <col min="16174" max="16174" width="2.7109375" customWidth="1"/>
    <col min="16175" max="16175" width="6.85546875" customWidth="1"/>
    <col min="16176" max="16176" width="31.5703125" bestFit="1" customWidth="1"/>
    <col min="16177" max="16177" width="21.42578125" customWidth="1"/>
    <col min="16178" max="16180" width="12" bestFit="1" customWidth="1"/>
    <col min="16181" max="16182" width="11.5703125" bestFit="1" customWidth="1"/>
    <col min="16183" max="16184" width="2.28515625" customWidth="1"/>
    <col min="16185" max="16185" width="5.7109375" customWidth="1"/>
    <col min="16186" max="16186" width="26.140625" customWidth="1"/>
    <col min="16192" max="16192" width="3.28515625" customWidth="1"/>
  </cols>
  <sheetData>
    <row r="1" spans="1:61">
      <c r="A1" t="s">
        <v>0</v>
      </c>
    </row>
    <row r="2" spans="1:61">
      <c r="K2" s="2"/>
      <c r="L2" s="2"/>
      <c r="M2" s="2"/>
      <c r="N2" s="2"/>
      <c r="BF2" s="2" t="s">
        <v>1</v>
      </c>
      <c r="BG2" s="2" t="s">
        <v>2</v>
      </c>
      <c r="BH2" s="2" t="s">
        <v>3</v>
      </c>
      <c r="BI2" s="2" t="s">
        <v>4</v>
      </c>
    </row>
    <row r="3" spans="1:61">
      <c r="K3" s="2"/>
      <c r="L3" s="2"/>
      <c r="M3" s="2"/>
      <c r="N3" s="2"/>
      <c r="BF3" s="2">
        <v>84</v>
      </c>
      <c r="BG3" s="2">
        <v>4505</v>
      </c>
      <c r="BH3" s="2">
        <v>13.5</v>
      </c>
      <c r="BI3" s="2">
        <v>13.51</v>
      </c>
    </row>
    <row r="4" spans="1:61">
      <c r="K4" s="2"/>
      <c r="L4" s="2"/>
      <c r="M4" s="2"/>
      <c r="N4" s="2"/>
      <c r="BF4" s="2">
        <v>162</v>
      </c>
      <c r="BG4" s="2">
        <v>4232</v>
      </c>
      <c r="BH4" s="2">
        <v>14</v>
      </c>
      <c r="BI4" s="2">
        <v>18.47</v>
      </c>
    </row>
    <row r="5" spans="1:61" s="3" customFormat="1" ht="18">
      <c r="C5" s="4"/>
      <c r="D5" s="3" t="s">
        <v>97</v>
      </c>
      <c r="F5" s="5"/>
      <c r="K5" s="2"/>
      <c r="L5" s="2"/>
      <c r="M5" s="2"/>
      <c r="N5" s="2"/>
      <c r="BF5" s="2">
        <v>177</v>
      </c>
      <c r="BG5" s="2">
        <v>4135</v>
      </c>
      <c r="BH5" s="2">
        <v>15</v>
      </c>
      <c r="BI5" s="2">
        <v>20.13</v>
      </c>
    </row>
    <row r="6" spans="1:61">
      <c r="E6" t="s">
        <v>98</v>
      </c>
      <c r="F6" s="182">
        <v>0.8</v>
      </c>
    </row>
    <row r="8" spans="1:61">
      <c r="C8" s="6" t="s">
        <v>5</v>
      </c>
      <c r="F8" s="7" t="s">
        <v>6</v>
      </c>
      <c r="G8" s="109">
        <v>2010</v>
      </c>
      <c r="H8" s="109">
        <v>2011</v>
      </c>
      <c r="I8" s="109">
        <v>2012</v>
      </c>
      <c r="J8" s="8">
        <v>2013</v>
      </c>
      <c r="K8" s="8">
        <v>2014</v>
      </c>
      <c r="L8" s="8">
        <v>2015</v>
      </c>
      <c r="M8" s="8">
        <v>2016</v>
      </c>
      <c r="N8" s="8">
        <v>2017</v>
      </c>
      <c r="O8" s="8">
        <v>2018</v>
      </c>
      <c r="P8" s="8">
        <v>2019</v>
      </c>
      <c r="Q8" s="8">
        <v>2020</v>
      </c>
      <c r="R8" s="8">
        <v>2021</v>
      </c>
      <c r="S8" s="8">
        <v>2022</v>
      </c>
      <c r="T8" s="8">
        <v>2023</v>
      </c>
      <c r="U8" s="8">
        <v>2024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9">
        <v>2014</v>
      </c>
    </row>
    <row r="9" spans="1:61">
      <c r="C9" s="6"/>
      <c r="E9" s="10" t="s">
        <v>7</v>
      </c>
      <c r="F9" s="11" t="s">
        <v>8</v>
      </c>
      <c r="G9" s="110">
        <v>819</v>
      </c>
      <c r="H9" s="110">
        <v>815</v>
      </c>
      <c r="I9" s="110">
        <v>813</v>
      </c>
      <c r="J9" s="12">
        <v>811</v>
      </c>
      <c r="K9" s="12">
        <v>809</v>
      </c>
      <c r="L9" s="12">
        <v>808</v>
      </c>
      <c r="M9" s="12">
        <v>806</v>
      </c>
      <c r="N9" s="12">
        <v>805</v>
      </c>
      <c r="O9" s="12">
        <v>804</v>
      </c>
      <c r="P9" s="12">
        <v>803</v>
      </c>
      <c r="Q9" s="12">
        <v>802</v>
      </c>
      <c r="R9" s="12">
        <v>801</v>
      </c>
      <c r="S9" s="12">
        <v>800</v>
      </c>
      <c r="T9" s="12">
        <v>799</v>
      </c>
      <c r="U9" s="12">
        <v>798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3">
        <v>809</v>
      </c>
    </row>
    <row r="10" spans="1:61">
      <c r="C10" s="6"/>
      <c r="E10" s="14" t="s">
        <v>9</v>
      </c>
      <c r="F10" s="15" t="s">
        <v>10</v>
      </c>
      <c r="G10" s="147">
        <v>4505</v>
      </c>
      <c r="H10" s="147">
        <v>4232</v>
      </c>
      <c r="I10" s="147">
        <v>4135</v>
      </c>
      <c r="J10" s="103">
        <v>3200</v>
      </c>
      <c r="K10" s="103">
        <v>3200</v>
      </c>
      <c r="L10" s="103">
        <v>3200</v>
      </c>
      <c r="M10" s="103">
        <v>3200</v>
      </c>
      <c r="N10" s="103">
        <v>3200</v>
      </c>
      <c r="O10" s="103">
        <v>3200</v>
      </c>
      <c r="P10" s="103">
        <v>3200</v>
      </c>
      <c r="Q10" s="103">
        <v>3200</v>
      </c>
      <c r="R10" s="103">
        <v>3200</v>
      </c>
      <c r="S10" s="103">
        <v>3200</v>
      </c>
      <c r="T10" s="103">
        <v>3200</v>
      </c>
      <c r="U10" s="103">
        <v>3200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7"/>
    </row>
    <row r="11" spans="1:61">
      <c r="C11" s="6"/>
      <c r="E11" s="14" t="s">
        <v>79</v>
      </c>
      <c r="F11" s="15" t="s">
        <v>80</v>
      </c>
      <c r="G11" s="158">
        <f>+G9*G10</f>
        <v>3689595</v>
      </c>
      <c r="H11" s="158">
        <f t="shared" ref="H11:U11" si="0">+H9*H10</f>
        <v>3449080</v>
      </c>
      <c r="I11" s="158">
        <f t="shared" si="0"/>
        <v>3361755</v>
      </c>
      <c r="J11" s="159">
        <f t="shared" si="0"/>
        <v>2595200</v>
      </c>
      <c r="K11" s="159">
        <f t="shared" si="0"/>
        <v>2588800</v>
      </c>
      <c r="L11" s="159">
        <f t="shared" si="0"/>
        <v>2585600</v>
      </c>
      <c r="M11" s="159">
        <f t="shared" si="0"/>
        <v>2579200</v>
      </c>
      <c r="N11" s="159">
        <f t="shared" si="0"/>
        <v>2576000</v>
      </c>
      <c r="O11" s="159">
        <f t="shared" si="0"/>
        <v>2572800</v>
      </c>
      <c r="P11" s="159">
        <f t="shared" si="0"/>
        <v>2569600</v>
      </c>
      <c r="Q11" s="159">
        <f t="shared" si="0"/>
        <v>2566400</v>
      </c>
      <c r="R11" s="159">
        <f t="shared" si="0"/>
        <v>2563200</v>
      </c>
      <c r="S11" s="159">
        <f t="shared" si="0"/>
        <v>2560000</v>
      </c>
      <c r="T11" s="159">
        <f t="shared" si="0"/>
        <v>2556800</v>
      </c>
      <c r="U11" s="159">
        <f t="shared" si="0"/>
        <v>2553600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7"/>
    </row>
    <row r="12" spans="1:61">
      <c r="C12" s="6"/>
      <c r="E12" s="14" t="s">
        <v>11</v>
      </c>
      <c r="F12" s="15"/>
      <c r="G12" s="111">
        <v>84</v>
      </c>
      <c r="H12" s="111">
        <v>162</v>
      </c>
      <c r="I12" s="111">
        <v>177</v>
      </c>
      <c r="J12" s="16">
        <v>170</v>
      </c>
      <c r="K12" s="16">
        <v>170</v>
      </c>
      <c r="L12" s="16">
        <v>170</v>
      </c>
      <c r="M12" s="16">
        <v>170</v>
      </c>
      <c r="N12" s="16">
        <v>170</v>
      </c>
      <c r="O12" s="16">
        <v>170</v>
      </c>
      <c r="P12" s="16">
        <v>170</v>
      </c>
      <c r="Q12" s="16">
        <v>170</v>
      </c>
      <c r="R12" s="16">
        <v>170</v>
      </c>
      <c r="S12" s="16">
        <v>170</v>
      </c>
      <c r="T12" s="16">
        <v>170</v>
      </c>
      <c r="U12" s="16">
        <v>170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7"/>
    </row>
    <row r="13" spans="1:61">
      <c r="C13" s="6"/>
      <c r="E13" s="14" t="s">
        <v>86</v>
      </c>
      <c r="F13" s="15" t="s">
        <v>12</v>
      </c>
      <c r="G13" s="112">
        <v>13.51</v>
      </c>
      <c r="H13" s="112">
        <v>18.47</v>
      </c>
      <c r="I13" s="112">
        <v>20.13</v>
      </c>
      <c r="J13" s="149">
        <v>20.13</v>
      </c>
      <c r="K13" s="149">
        <v>20.13</v>
      </c>
      <c r="L13" s="149">
        <v>20.13</v>
      </c>
      <c r="M13" s="149">
        <v>20.13</v>
      </c>
      <c r="N13" s="149">
        <v>20.13</v>
      </c>
      <c r="O13" s="149">
        <v>20.13</v>
      </c>
      <c r="P13" s="149">
        <v>20.13</v>
      </c>
      <c r="Q13" s="149">
        <v>20.13</v>
      </c>
      <c r="R13" s="149">
        <v>20.13</v>
      </c>
      <c r="S13" s="149">
        <v>20.13</v>
      </c>
      <c r="T13" s="149">
        <v>20.13</v>
      </c>
      <c r="U13" s="149">
        <v>20.13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7"/>
    </row>
    <row r="14" spans="1:61">
      <c r="C14" s="6"/>
      <c r="E14" s="14" t="s">
        <v>13</v>
      </c>
      <c r="F14" s="15"/>
      <c r="G14" s="112">
        <v>13.5</v>
      </c>
      <c r="H14" s="112">
        <v>14</v>
      </c>
      <c r="I14" s="112">
        <v>15</v>
      </c>
      <c r="J14" s="18">
        <v>15</v>
      </c>
      <c r="K14" s="18">
        <v>15</v>
      </c>
      <c r="L14" s="18">
        <v>15</v>
      </c>
      <c r="M14" s="18">
        <v>15</v>
      </c>
      <c r="N14" s="18">
        <v>15</v>
      </c>
      <c r="O14" s="18">
        <v>15</v>
      </c>
      <c r="P14" s="18">
        <v>15</v>
      </c>
      <c r="Q14" s="18">
        <v>15</v>
      </c>
      <c r="R14" s="18">
        <v>15</v>
      </c>
      <c r="S14" s="18">
        <v>15</v>
      </c>
      <c r="T14" s="18">
        <v>15</v>
      </c>
      <c r="U14" s="18">
        <v>15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7"/>
    </row>
    <row r="15" spans="1:61">
      <c r="C15" s="6"/>
      <c r="E15" s="19" t="s">
        <v>14</v>
      </c>
      <c r="F15" s="20"/>
      <c r="G15" s="113">
        <v>8</v>
      </c>
      <c r="H15" s="113">
        <v>12</v>
      </c>
      <c r="I15" s="113">
        <v>12</v>
      </c>
      <c r="J15" s="21">
        <v>12</v>
      </c>
      <c r="K15" s="21">
        <v>12</v>
      </c>
      <c r="L15" s="21">
        <v>12</v>
      </c>
      <c r="M15" s="21">
        <v>12</v>
      </c>
      <c r="N15" s="21">
        <v>12</v>
      </c>
      <c r="O15" s="21">
        <v>12</v>
      </c>
      <c r="P15" s="21">
        <v>12</v>
      </c>
      <c r="Q15" s="21">
        <v>12</v>
      </c>
      <c r="R15" s="21">
        <v>12</v>
      </c>
      <c r="S15" s="21">
        <v>12</v>
      </c>
      <c r="T15" s="21">
        <v>12</v>
      </c>
      <c r="U15" s="21">
        <v>12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2"/>
    </row>
    <row r="16" spans="1:61">
      <c r="C16" s="6"/>
      <c r="D16" s="6"/>
      <c r="E16" s="23" t="s">
        <v>15</v>
      </c>
      <c r="F16" s="7" t="s">
        <v>12</v>
      </c>
      <c r="G16" s="114">
        <v>0.2</v>
      </c>
      <c r="H16" s="115">
        <v>0.2</v>
      </c>
      <c r="I16" s="115">
        <v>0.2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48">
        <v>0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5"/>
      <c r="BC16" s="6"/>
      <c r="BD16" s="6"/>
      <c r="BE16" s="6"/>
    </row>
    <row r="17" spans="1:58">
      <c r="C17" s="6"/>
    </row>
    <row r="18" spans="1:58">
      <c r="B18" s="10"/>
      <c r="C18" s="26"/>
      <c r="D18" s="27"/>
      <c r="E18" s="27"/>
      <c r="F18" s="28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9"/>
      <c r="BD18" s="30"/>
    </row>
    <row r="19" spans="1:58">
      <c r="B19" s="14"/>
      <c r="C19" s="31" t="s">
        <v>16</v>
      </c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3"/>
      <c r="BD19" s="30"/>
    </row>
    <row r="20" spans="1:58">
      <c r="B20" s="14"/>
      <c r="C20" s="34"/>
      <c r="D20" s="30" t="s">
        <v>17</v>
      </c>
      <c r="E20" s="30"/>
      <c r="F20" s="7" t="s">
        <v>6</v>
      </c>
      <c r="G20" s="109">
        <v>2010</v>
      </c>
      <c r="H20" s="109">
        <v>2011</v>
      </c>
      <c r="I20" s="109">
        <v>2012</v>
      </c>
      <c r="J20" s="8">
        <v>2013</v>
      </c>
      <c r="K20" s="8">
        <v>2014</v>
      </c>
      <c r="L20" s="8">
        <v>2015</v>
      </c>
      <c r="M20" s="8">
        <v>2016</v>
      </c>
      <c r="N20" s="8">
        <v>2017</v>
      </c>
      <c r="O20" s="8">
        <v>2018</v>
      </c>
      <c r="P20" s="8">
        <v>2019</v>
      </c>
      <c r="Q20" s="8">
        <v>2020</v>
      </c>
      <c r="R20" s="8">
        <v>2021</v>
      </c>
      <c r="S20" s="8">
        <v>2022</v>
      </c>
      <c r="T20" s="8">
        <v>2023</v>
      </c>
      <c r="U20" s="8">
        <v>2024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9">
        <v>2014</v>
      </c>
      <c r="BC20" s="33"/>
      <c r="BD20" s="30"/>
      <c r="BF20" s="35" t="s">
        <v>18</v>
      </c>
    </row>
    <row r="21" spans="1:58">
      <c r="B21" s="14"/>
      <c r="C21" s="34"/>
      <c r="D21" s="30"/>
      <c r="E21" s="10" t="s">
        <v>19</v>
      </c>
      <c r="F21" s="36" t="s">
        <v>82</v>
      </c>
      <c r="G21" s="110">
        <v>0.52</v>
      </c>
      <c r="H21" s="170">
        <f>+G21*$F$36</f>
        <v>0.5252</v>
      </c>
      <c r="I21" s="170">
        <f t="shared" ref="I21:U21" si="1">+H21*$F$36</f>
        <v>0.53045200000000003</v>
      </c>
      <c r="J21" s="171">
        <f t="shared" si="1"/>
        <v>0.53575652000000007</v>
      </c>
      <c r="K21" s="171">
        <f t="shared" si="1"/>
        <v>0.54111408520000004</v>
      </c>
      <c r="L21" s="171">
        <f t="shared" si="1"/>
        <v>0.54652522605200005</v>
      </c>
      <c r="M21" s="171">
        <f t="shared" si="1"/>
        <v>0.55199047831252002</v>
      </c>
      <c r="N21" s="171">
        <f t="shared" si="1"/>
        <v>0.55751038309564527</v>
      </c>
      <c r="O21" s="171">
        <f t="shared" si="1"/>
        <v>0.56308548692660176</v>
      </c>
      <c r="P21" s="171">
        <f t="shared" si="1"/>
        <v>0.56871634179586783</v>
      </c>
      <c r="Q21" s="171">
        <f t="shared" si="1"/>
        <v>0.57440350521382655</v>
      </c>
      <c r="R21" s="171">
        <f t="shared" si="1"/>
        <v>0.58014754026596482</v>
      </c>
      <c r="S21" s="171">
        <f t="shared" si="1"/>
        <v>0.58594901566862445</v>
      </c>
      <c r="T21" s="171">
        <f t="shared" si="1"/>
        <v>0.59180850582531075</v>
      </c>
      <c r="U21" s="171">
        <f t="shared" si="1"/>
        <v>0.59772659088356384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3">
        <v>0.6</v>
      </c>
      <c r="BC21" s="33"/>
      <c r="BD21" s="30"/>
    </row>
    <row r="22" spans="1:58">
      <c r="B22" s="14"/>
      <c r="C22" s="34"/>
      <c r="D22" s="30"/>
      <c r="E22" s="14" t="s">
        <v>20</v>
      </c>
      <c r="F22" s="15"/>
      <c r="G22" s="116">
        <v>1.004</v>
      </c>
      <c r="H22" s="116">
        <v>1.008</v>
      </c>
      <c r="I22" s="116">
        <v>1.01</v>
      </c>
      <c r="J22" s="37">
        <v>1.0109999999999999</v>
      </c>
      <c r="K22" s="37">
        <v>1.012</v>
      </c>
      <c r="L22" s="37">
        <v>1.0129999999999999</v>
      </c>
      <c r="M22" s="37">
        <v>1.014</v>
      </c>
      <c r="N22" s="37">
        <v>1.0149999999999999</v>
      </c>
      <c r="O22" s="37">
        <v>1.0149999999999999</v>
      </c>
      <c r="P22" s="37">
        <v>1.016</v>
      </c>
      <c r="Q22" s="37">
        <v>1.016</v>
      </c>
      <c r="R22" s="37">
        <v>1.0170000000000001</v>
      </c>
      <c r="S22" s="37">
        <v>1.0106999999999999</v>
      </c>
      <c r="T22" s="37">
        <v>1.018</v>
      </c>
      <c r="U22" s="37">
        <v>1.018</v>
      </c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>
        <v>1.012</v>
      </c>
      <c r="BC22" s="33"/>
      <c r="BD22" s="30"/>
    </row>
    <row r="23" spans="1:58">
      <c r="A23" s="39"/>
      <c r="B23" s="14"/>
      <c r="C23" s="34"/>
      <c r="D23" s="30"/>
      <c r="E23" s="14" t="s">
        <v>21</v>
      </c>
      <c r="F23" s="40" t="s">
        <v>22</v>
      </c>
      <c r="G23" s="166">
        <v>1.9206666666666665</v>
      </c>
      <c r="H23" s="167">
        <f>+G23</f>
        <v>1.9206666666666665</v>
      </c>
      <c r="I23" s="167">
        <f t="shared" ref="I23:J27" si="2">+H23</f>
        <v>1.9206666666666665</v>
      </c>
      <c r="J23" s="168">
        <f t="shared" si="2"/>
        <v>1.9206666666666665</v>
      </c>
      <c r="K23" s="168">
        <f t="shared" ref="K23:K27" si="3">+J23</f>
        <v>1.9206666666666665</v>
      </c>
      <c r="L23" s="168">
        <f t="shared" ref="L23:L27" si="4">+K23</f>
        <v>1.9206666666666665</v>
      </c>
      <c r="M23" s="168">
        <f t="shared" ref="M23:M27" si="5">+L23</f>
        <v>1.9206666666666665</v>
      </c>
      <c r="N23" s="168">
        <f t="shared" ref="N23:N27" si="6">+M23</f>
        <v>1.9206666666666665</v>
      </c>
      <c r="O23" s="168">
        <f t="shared" ref="O23:O27" si="7">+N23</f>
        <v>1.9206666666666665</v>
      </c>
      <c r="P23" s="168">
        <f t="shared" ref="P23:P27" si="8">+O23</f>
        <v>1.9206666666666665</v>
      </c>
      <c r="Q23" s="168">
        <f t="shared" ref="Q23:Q27" si="9">+P23</f>
        <v>1.9206666666666665</v>
      </c>
      <c r="R23" s="168">
        <f t="shared" ref="R23:R27" si="10">+Q23</f>
        <v>1.9206666666666665</v>
      </c>
      <c r="S23" s="168">
        <f t="shared" ref="S23:S27" si="11">+R23</f>
        <v>1.9206666666666665</v>
      </c>
      <c r="T23" s="168">
        <f t="shared" ref="T23:T27" si="12">+S23</f>
        <v>1.9206666666666665</v>
      </c>
      <c r="U23" s="168">
        <f t="shared" ref="U23:U27" si="13">+T23</f>
        <v>1.9206666666666665</v>
      </c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3">
        <f>+J23</f>
        <v>1.9206666666666665</v>
      </c>
      <c r="BC23" s="33"/>
      <c r="BD23" s="30"/>
    </row>
    <row r="24" spans="1:58">
      <c r="A24" s="39"/>
      <c r="B24" s="14"/>
      <c r="C24" s="34"/>
      <c r="D24" s="30"/>
      <c r="E24" s="14" t="s">
        <v>87</v>
      </c>
      <c r="F24" s="40"/>
      <c r="G24" s="165">
        <f>1/G23/G22</f>
        <v>0.51857823824452276</v>
      </c>
      <c r="H24" s="165">
        <f t="shared" ref="H24:U24" si="14">1/H23/H22</f>
        <v>0.5165203880927588</v>
      </c>
      <c r="I24" s="165">
        <f t="shared" si="14"/>
        <v>0.51549757544307018</v>
      </c>
      <c r="J24" s="165">
        <f t="shared" si="14"/>
        <v>0.51498768664441241</v>
      </c>
      <c r="K24" s="165">
        <f t="shared" si="14"/>
        <v>0.51447880553112735</v>
      </c>
      <c r="L24" s="165">
        <f t="shared" si="14"/>
        <v>0.51397092911895448</v>
      </c>
      <c r="M24" s="165">
        <f t="shared" si="14"/>
        <v>0.51346405443540521</v>
      </c>
      <c r="N24" s="165">
        <f t="shared" si="14"/>
        <v>0.51295817851970538</v>
      </c>
      <c r="O24" s="165">
        <f t="shared" si="14"/>
        <v>0.51295817851970538</v>
      </c>
      <c r="P24" s="165">
        <f t="shared" si="14"/>
        <v>0.51245329842273701</v>
      </c>
      <c r="Q24" s="165">
        <f t="shared" si="14"/>
        <v>0.51245329842273701</v>
      </c>
      <c r="R24" s="165">
        <f t="shared" si="14"/>
        <v>0.51194941120698212</v>
      </c>
      <c r="S24" s="165">
        <f t="shared" si="14"/>
        <v>0.51514054734095271</v>
      </c>
      <c r="T24" s="165">
        <f t="shared" si="14"/>
        <v>0.51144651394646445</v>
      </c>
      <c r="U24" s="165">
        <f t="shared" si="14"/>
        <v>0.51144651394646445</v>
      </c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3"/>
      <c r="BC24" s="33"/>
      <c r="BD24" s="30"/>
    </row>
    <row r="25" spans="1:58">
      <c r="B25" s="14"/>
      <c r="C25" s="34"/>
      <c r="D25" s="30"/>
      <c r="E25" s="14" t="s">
        <v>23</v>
      </c>
      <c r="F25" s="15"/>
      <c r="G25" s="118">
        <v>1.65</v>
      </c>
      <c r="H25" s="141">
        <f>+G25</f>
        <v>1.65</v>
      </c>
      <c r="I25" s="141">
        <f t="shared" si="2"/>
        <v>1.65</v>
      </c>
      <c r="J25" s="142">
        <f t="shared" si="2"/>
        <v>1.65</v>
      </c>
      <c r="K25" s="142">
        <f t="shared" si="3"/>
        <v>1.65</v>
      </c>
      <c r="L25" s="142">
        <f t="shared" si="4"/>
        <v>1.65</v>
      </c>
      <c r="M25" s="142">
        <f t="shared" si="5"/>
        <v>1.65</v>
      </c>
      <c r="N25" s="142">
        <f t="shared" si="6"/>
        <v>1.65</v>
      </c>
      <c r="O25" s="142">
        <f t="shared" si="7"/>
        <v>1.65</v>
      </c>
      <c r="P25" s="142">
        <f t="shared" si="8"/>
        <v>1.65</v>
      </c>
      <c r="Q25" s="142">
        <f t="shared" si="9"/>
        <v>1.65</v>
      </c>
      <c r="R25" s="142">
        <f t="shared" si="10"/>
        <v>1.65</v>
      </c>
      <c r="S25" s="142">
        <f t="shared" si="11"/>
        <v>1.65</v>
      </c>
      <c r="T25" s="142">
        <f t="shared" si="12"/>
        <v>1.65</v>
      </c>
      <c r="U25" s="142">
        <f t="shared" si="13"/>
        <v>1.65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3">
        <f>+J25</f>
        <v>1.65</v>
      </c>
      <c r="BC25" s="33"/>
      <c r="BD25" s="30"/>
      <c r="BF25" s="11" t="s">
        <v>24</v>
      </c>
    </row>
    <row r="26" spans="1:58">
      <c r="B26" s="14"/>
      <c r="C26" s="34"/>
      <c r="D26" s="30"/>
      <c r="E26" s="14" t="s">
        <v>25</v>
      </c>
      <c r="F26" s="15"/>
      <c r="G26" s="118">
        <v>0.03</v>
      </c>
      <c r="H26" s="141">
        <f>+G26</f>
        <v>0.03</v>
      </c>
      <c r="I26" s="141">
        <f t="shared" si="2"/>
        <v>0.03</v>
      </c>
      <c r="J26" s="142">
        <f t="shared" si="2"/>
        <v>0.03</v>
      </c>
      <c r="K26" s="142">
        <f t="shared" si="3"/>
        <v>0.03</v>
      </c>
      <c r="L26" s="142">
        <f t="shared" si="4"/>
        <v>0.03</v>
      </c>
      <c r="M26" s="142">
        <f t="shared" si="5"/>
        <v>0.03</v>
      </c>
      <c r="N26" s="142">
        <f t="shared" si="6"/>
        <v>0.03</v>
      </c>
      <c r="O26" s="142">
        <f t="shared" si="7"/>
        <v>0.03</v>
      </c>
      <c r="P26" s="142">
        <f t="shared" si="8"/>
        <v>0.03</v>
      </c>
      <c r="Q26" s="142">
        <f t="shared" si="9"/>
        <v>0.03</v>
      </c>
      <c r="R26" s="142">
        <f t="shared" si="10"/>
        <v>0.03</v>
      </c>
      <c r="S26" s="142">
        <f t="shared" si="11"/>
        <v>0.03</v>
      </c>
      <c r="T26" s="142">
        <f t="shared" si="12"/>
        <v>0.03</v>
      </c>
      <c r="U26" s="142">
        <f t="shared" si="13"/>
        <v>0.03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3">
        <f>+J26</f>
        <v>0.03</v>
      </c>
      <c r="BC26" s="33"/>
      <c r="BD26" s="30"/>
      <c r="BF26" s="42">
        <f>BB23*(1+BB25*(BB26+BB27))</f>
        <v>2.0810231266666666</v>
      </c>
    </row>
    <row r="27" spans="1:58">
      <c r="B27" s="14"/>
      <c r="C27" s="34"/>
      <c r="D27" s="30"/>
      <c r="E27" s="14" t="s">
        <v>26</v>
      </c>
      <c r="F27" s="15"/>
      <c r="G27" s="119">
        <v>2.06E-2</v>
      </c>
      <c r="H27" s="141">
        <f>+G27</f>
        <v>2.06E-2</v>
      </c>
      <c r="I27" s="141">
        <f t="shared" si="2"/>
        <v>2.06E-2</v>
      </c>
      <c r="J27" s="142">
        <f t="shared" si="2"/>
        <v>2.06E-2</v>
      </c>
      <c r="K27" s="142">
        <f t="shared" si="3"/>
        <v>2.06E-2</v>
      </c>
      <c r="L27" s="142">
        <f t="shared" si="4"/>
        <v>2.06E-2</v>
      </c>
      <c r="M27" s="142">
        <f t="shared" si="5"/>
        <v>2.06E-2</v>
      </c>
      <c r="N27" s="142">
        <f t="shared" si="6"/>
        <v>2.06E-2</v>
      </c>
      <c r="O27" s="142">
        <f t="shared" si="7"/>
        <v>2.06E-2</v>
      </c>
      <c r="P27" s="142">
        <f t="shared" si="8"/>
        <v>2.06E-2</v>
      </c>
      <c r="Q27" s="142">
        <f t="shared" si="9"/>
        <v>2.06E-2</v>
      </c>
      <c r="R27" s="142">
        <f t="shared" si="10"/>
        <v>2.06E-2</v>
      </c>
      <c r="S27" s="142">
        <f t="shared" si="11"/>
        <v>2.06E-2</v>
      </c>
      <c r="T27" s="142">
        <f t="shared" si="12"/>
        <v>2.06E-2</v>
      </c>
      <c r="U27" s="142">
        <f t="shared" si="13"/>
        <v>2.06E-2</v>
      </c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3">
        <f>+J27</f>
        <v>2.06E-2</v>
      </c>
      <c r="BC27" s="33"/>
      <c r="BD27" s="30"/>
    </row>
    <row r="28" spans="1:58">
      <c r="B28" s="14"/>
      <c r="C28" s="34"/>
      <c r="D28" s="30"/>
      <c r="E28" s="14" t="s">
        <v>27</v>
      </c>
      <c r="F28" s="15"/>
      <c r="G28" s="116">
        <v>0.24410000000000001</v>
      </c>
      <c r="H28" s="116">
        <v>0.24530000000000002</v>
      </c>
      <c r="I28" s="116">
        <v>0.24600000000000002</v>
      </c>
      <c r="J28" s="37">
        <v>0.24660000000000001</v>
      </c>
      <c r="K28" s="37">
        <v>0.24719999999999998</v>
      </c>
      <c r="L28" s="37">
        <v>0.24760000000000001</v>
      </c>
      <c r="M28" s="37">
        <v>0.248</v>
      </c>
      <c r="N28" s="37">
        <v>0.24840000000000001</v>
      </c>
      <c r="O28" s="37">
        <v>0.2487</v>
      </c>
      <c r="P28" s="37">
        <v>0.249</v>
      </c>
      <c r="Q28" s="37">
        <v>0.24929999999999999</v>
      </c>
      <c r="R28" s="37">
        <v>0.24969999999999998</v>
      </c>
      <c r="S28" s="37">
        <v>0.24989999999999998</v>
      </c>
      <c r="T28" s="37">
        <v>0.25019999999999998</v>
      </c>
      <c r="U28" s="37">
        <v>0.2505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3"/>
      <c r="BC28" s="33"/>
      <c r="BD28" s="30"/>
    </row>
    <row r="29" spans="1:58">
      <c r="B29" s="14"/>
      <c r="C29" s="34"/>
      <c r="D29" s="30"/>
      <c r="E29" s="183" t="s">
        <v>99</v>
      </c>
      <c r="F29" s="7"/>
      <c r="G29" s="184">
        <f>+G28*$F$6</f>
        <v>0.19528000000000001</v>
      </c>
      <c r="H29" s="184">
        <f t="shared" ref="H29:U29" si="15">+H28*$F$6</f>
        <v>0.19624000000000003</v>
      </c>
      <c r="I29" s="184">
        <f t="shared" si="15"/>
        <v>0.19680000000000003</v>
      </c>
      <c r="J29" s="185">
        <f t="shared" si="15"/>
        <v>0.19728000000000001</v>
      </c>
      <c r="K29" s="185">
        <f t="shared" si="15"/>
        <v>0.19775999999999999</v>
      </c>
      <c r="L29" s="185">
        <f t="shared" si="15"/>
        <v>0.19808000000000003</v>
      </c>
      <c r="M29" s="185">
        <f t="shared" si="15"/>
        <v>0.19840000000000002</v>
      </c>
      <c r="N29" s="185">
        <f t="shared" si="15"/>
        <v>0.19872000000000001</v>
      </c>
      <c r="O29" s="185">
        <f t="shared" si="15"/>
        <v>0.19896000000000003</v>
      </c>
      <c r="P29" s="185">
        <f t="shared" si="15"/>
        <v>0.19920000000000002</v>
      </c>
      <c r="Q29" s="185">
        <f t="shared" si="15"/>
        <v>0.19944000000000001</v>
      </c>
      <c r="R29" s="185">
        <f t="shared" si="15"/>
        <v>0.19975999999999999</v>
      </c>
      <c r="S29" s="185">
        <f t="shared" si="15"/>
        <v>0.19991999999999999</v>
      </c>
      <c r="T29" s="185">
        <f t="shared" si="15"/>
        <v>0.20016</v>
      </c>
      <c r="U29" s="185">
        <f t="shared" si="15"/>
        <v>0.20040000000000002</v>
      </c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4">
        <v>0.2472</v>
      </c>
      <c r="BC29" s="33"/>
      <c r="BD29" s="30"/>
    </row>
    <row r="30" spans="1:58">
      <c r="B30" s="14"/>
      <c r="C30" s="34"/>
      <c r="D30" s="30"/>
      <c r="E30" s="10" t="s">
        <v>28</v>
      </c>
      <c r="F30" s="11" t="s">
        <v>29</v>
      </c>
      <c r="G30" s="120">
        <v>1057.2</v>
      </c>
      <c r="H30" s="121">
        <f>+G30</f>
        <v>1057.2</v>
      </c>
      <c r="I30" s="121">
        <f>+H30</f>
        <v>1057.2</v>
      </c>
      <c r="J30" s="27">
        <f>+I30</f>
        <v>1057.2</v>
      </c>
      <c r="K30" s="27">
        <f t="shared" ref="K30:U34" si="16">+J30</f>
        <v>1057.2</v>
      </c>
      <c r="L30" s="27">
        <f t="shared" si="16"/>
        <v>1057.2</v>
      </c>
      <c r="M30" s="27">
        <f t="shared" si="16"/>
        <v>1057.2</v>
      </c>
      <c r="N30" s="27">
        <f t="shared" si="16"/>
        <v>1057.2</v>
      </c>
      <c r="O30" s="27">
        <f t="shared" si="16"/>
        <v>1057.2</v>
      </c>
      <c r="P30" s="27">
        <f t="shared" si="16"/>
        <v>1057.2</v>
      </c>
      <c r="Q30" s="27">
        <f t="shared" si="16"/>
        <v>1057.2</v>
      </c>
      <c r="R30" s="27">
        <f t="shared" si="16"/>
        <v>1057.2</v>
      </c>
      <c r="S30" s="27">
        <f t="shared" si="16"/>
        <v>1057.2</v>
      </c>
      <c r="T30" s="27">
        <f t="shared" si="16"/>
        <v>1057.2</v>
      </c>
      <c r="U30" s="27">
        <f t="shared" si="16"/>
        <v>1057.2</v>
      </c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9">
        <f>+J30</f>
        <v>1057.2</v>
      </c>
      <c r="BC30" s="33"/>
      <c r="BD30" s="30"/>
    </row>
    <row r="31" spans="1:58">
      <c r="B31" s="14"/>
      <c r="C31" s="34"/>
      <c r="D31" s="30"/>
      <c r="E31" s="19" t="s">
        <v>30</v>
      </c>
      <c r="F31" s="20" t="s">
        <v>31</v>
      </c>
      <c r="G31" s="122">
        <v>12471</v>
      </c>
      <c r="H31" s="123">
        <f>+G31</f>
        <v>12471</v>
      </c>
      <c r="I31" s="123">
        <f t="shared" ref="I31:J34" si="17">+H31</f>
        <v>12471</v>
      </c>
      <c r="J31" s="21">
        <f t="shared" si="17"/>
        <v>12471</v>
      </c>
      <c r="K31" s="21">
        <f t="shared" si="16"/>
        <v>12471</v>
      </c>
      <c r="L31" s="21">
        <f t="shared" si="16"/>
        <v>12471</v>
      </c>
      <c r="M31" s="21">
        <f t="shared" si="16"/>
        <v>12471</v>
      </c>
      <c r="N31" s="21">
        <f t="shared" si="16"/>
        <v>12471</v>
      </c>
      <c r="O31" s="21">
        <f t="shared" si="16"/>
        <v>12471</v>
      </c>
      <c r="P31" s="21">
        <f t="shared" si="16"/>
        <v>12471</v>
      </c>
      <c r="Q31" s="21">
        <f t="shared" si="16"/>
        <v>12471</v>
      </c>
      <c r="R31" s="21">
        <f t="shared" si="16"/>
        <v>12471</v>
      </c>
      <c r="S31" s="21">
        <f t="shared" si="16"/>
        <v>12471</v>
      </c>
      <c r="T31" s="21">
        <f t="shared" si="16"/>
        <v>12471</v>
      </c>
      <c r="U31" s="21">
        <f t="shared" si="16"/>
        <v>12471</v>
      </c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2">
        <f>+J31</f>
        <v>12471</v>
      </c>
      <c r="BC31" s="33"/>
      <c r="BD31" s="30"/>
    </row>
    <row r="32" spans="1:58">
      <c r="B32" s="14"/>
      <c r="C32" s="34"/>
      <c r="D32" s="30"/>
      <c r="E32" s="45" t="s">
        <v>32</v>
      </c>
      <c r="F32" s="11" t="s">
        <v>33</v>
      </c>
      <c r="G32" s="124">
        <v>13931608</v>
      </c>
      <c r="H32" s="125">
        <f>+G32</f>
        <v>13931608</v>
      </c>
      <c r="I32" s="125">
        <f t="shared" si="17"/>
        <v>13931608</v>
      </c>
      <c r="J32" s="46">
        <f t="shared" si="17"/>
        <v>13931608</v>
      </c>
      <c r="K32" s="46">
        <f t="shared" si="16"/>
        <v>13931608</v>
      </c>
      <c r="L32" s="46">
        <f t="shared" si="16"/>
        <v>13931608</v>
      </c>
      <c r="M32" s="46">
        <f t="shared" si="16"/>
        <v>13931608</v>
      </c>
      <c r="N32" s="46">
        <f t="shared" si="16"/>
        <v>13931608</v>
      </c>
      <c r="O32" s="46">
        <f t="shared" si="16"/>
        <v>13931608</v>
      </c>
      <c r="P32" s="46">
        <f t="shared" si="16"/>
        <v>13931608</v>
      </c>
      <c r="Q32" s="46">
        <f t="shared" si="16"/>
        <v>13931608</v>
      </c>
      <c r="R32" s="46">
        <f t="shared" si="16"/>
        <v>13931608</v>
      </c>
      <c r="S32" s="46">
        <f t="shared" si="16"/>
        <v>13931608</v>
      </c>
      <c r="T32" s="46">
        <f t="shared" si="16"/>
        <v>13931608</v>
      </c>
      <c r="U32" s="46">
        <f t="shared" si="16"/>
        <v>13931608</v>
      </c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9">
        <f>+J32</f>
        <v>13931608</v>
      </c>
      <c r="BC32" s="33"/>
      <c r="BD32" s="30"/>
    </row>
    <row r="33" spans="2:56">
      <c r="B33" s="14"/>
      <c r="C33" s="34"/>
      <c r="D33" s="30"/>
      <c r="E33" s="47" t="s">
        <v>34</v>
      </c>
      <c r="F33" s="15"/>
      <c r="G33" s="116">
        <v>0.22789999999999999</v>
      </c>
      <c r="H33" s="126">
        <f>+G33</f>
        <v>0.22789999999999999</v>
      </c>
      <c r="I33" s="126">
        <f t="shared" si="17"/>
        <v>0.22789999999999999</v>
      </c>
      <c r="J33" s="48">
        <f t="shared" si="17"/>
        <v>0.22789999999999999</v>
      </c>
      <c r="K33" s="48">
        <f t="shared" si="16"/>
        <v>0.22789999999999999</v>
      </c>
      <c r="L33" s="48">
        <f t="shared" si="16"/>
        <v>0.22789999999999999</v>
      </c>
      <c r="M33" s="48">
        <f t="shared" si="16"/>
        <v>0.22789999999999999</v>
      </c>
      <c r="N33" s="48">
        <f t="shared" si="16"/>
        <v>0.22789999999999999</v>
      </c>
      <c r="O33" s="48">
        <f t="shared" si="16"/>
        <v>0.22789999999999999</v>
      </c>
      <c r="P33" s="48">
        <f t="shared" si="16"/>
        <v>0.22789999999999999</v>
      </c>
      <c r="Q33" s="48">
        <f t="shared" si="16"/>
        <v>0.22789999999999999</v>
      </c>
      <c r="R33" s="48">
        <f t="shared" si="16"/>
        <v>0.22789999999999999</v>
      </c>
      <c r="S33" s="48">
        <f t="shared" si="16"/>
        <v>0.22789999999999999</v>
      </c>
      <c r="T33" s="48">
        <f t="shared" si="16"/>
        <v>0.22789999999999999</v>
      </c>
      <c r="U33" s="48">
        <f t="shared" si="16"/>
        <v>0.22789999999999999</v>
      </c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9">
        <f>+J33</f>
        <v>0.22789999999999999</v>
      </c>
      <c r="BC33" s="33"/>
      <c r="BD33" s="30"/>
    </row>
    <row r="34" spans="2:56">
      <c r="B34" s="14"/>
      <c r="C34" s="34"/>
      <c r="D34" s="30"/>
      <c r="E34" s="47" t="s">
        <v>35</v>
      </c>
      <c r="F34" s="15"/>
      <c r="G34" s="116">
        <v>0.77210000000000001</v>
      </c>
      <c r="H34" s="126">
        <f>+G34</f>
        <v>0.77210000000000001</v>
      </c>
      <c r="I34" s="126">
        <f t="shared" si="17"/>
        <v>0.77210000000000001</v>
      </c>
      <c r="J34" s="48">
        <f t="shared" si="17"/>
        <v>0.77210000000000001</v>
      </c>
      <c r="K34" s="48">
        <f t="shared" si="16"/>
        <v>0.77210000000000001</v>
      </c>
      <c r="L34" s="48">
        <f t="shared" si="16"/>
        <v>0.77210000000000001</v>
      </c>
      <c r="M34" s="48">
        <f t="shared" si="16"/>
        <v>0.77210000000000001</v>
      </c>
      <c r="N34" s="48">
        <f t="shared" si="16"/>
        <v>0.77210000000000001</v>
      </c>
      <c r="O34" s="48">
        <f t="shared" si="16"/>
        <v>0.77210000000000001</v>
      </c>
      <c r="P34" s="48">
        <f t="shared" si="16"/>
        <v>0.77210000000000001</v>
      </c>
      <c r="Q34" s="48">
        <f t="shared" si="16"/>
        <v>0.77210000000000001</v>
      </c>
      <c r="R34" s="48">
        <f t="shared" si="16"/>
        <v>0.77210000000000001</v>
      </c>
      <c r="S34" s="48">
        <f t="shared" si="16"/>
        <v>0.77210000000000001</v>
      </c>
      <c r="T34" s="48">
        <f t="shared" si="16"/>
        <v>0.77210000000000001</v>
      </c>
      <c r="U34" s="48">
        <f t="shared" si="16"/>
        <v>0.77210000000000001</v>
      </c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9">
        <f>+J34</f>
        <v>0.77210000000000001</v>
      </c>
      <c r="BC34" s="33"/>
      <c r="BD34" s="30"/>
    </row>
    <row r="35" spans="2:56">
      <c r="B35" s="14"/>
      <c r="C35" s="34"/>
      <c r="D35" s="30"/>
      <c r="E35" s="47" t="s">
        <v>36</v>
      </c>
      <c r="F35" s="172">
        <v>1.02</v>
      </c>
      <c r="G35" s="127">
        <f>G36</f>
        <v>1.0360400000000001</v>
      </c>
      <c r="H35" s="127">
        <f>+G35*$F$35</f>
        <v>1.0567608000000002</v>
      </c>
      <c r="I35" s="127">
        <f t="shared" ref="I35:U35" si="18">+H35*$F$35</f>
        <v>1.0778960160000002</v>
      </c>
      <c r="J35" s="50">
        <f t="shared" si="18"/>
        <v>1.0994539363200002</v>
      </c>
      <c r="K35" s="50">
        <f t="shared" si="18"/>
        <v>1.1214430150464003</v>
      </c>
      <c r="L35" s="50">
        <f t="shared" si="18"/>
        <v>1.1438718753473283</v>
      </c>
      <c r="M35" s="50">
        <f t="shared" si="18"/>
        <v>1.1667493128542747</v>
      </c>
      <c r="N35" s="50">
        <f t="shared" si="18"/>
        <v>1.1900842991113603</v>
      </c>
      <c r="O35" s="50">
        <f t="shared" si="18"/>
        <v>1.2138859850935875</v>
      </c>
      <c r="P35" s="50">
        <f t="shared" si="18"/>
        <v>1.2381637047954592</v>
      </c>
      <c r="Q35" s="50">
        <f t="shared" si="18"/>
        <v>1.2629269788913684</v>
      </c>
      <c r="R35" s="50">
        <f t="shared" si="18"/>
        <v>1.2881855184691957</v>
      </c>
      <c r="S35" s="50">
        <f t="shared" si="18"/>
        <v>1.3139492288385797</v>
      </c>
      <c r="T35" s="50">
        <f t="shared" si="18"/>
        <v>1.3402282134153514</v>
      </c>
      <c r="U35" s="50">
        <f t="shared" si="18"/>
        <v>1.3670327776836584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1" t="e">
        <f>BB36</f>
        <v>#REF!</v>
      </c>
      <c r="BC35" s="33"/>
      <c r="BD35" s="30"/>
    </row>
    <row r="36" spans="2:56">
      <c r="B36" s="14"/>
      <c r="C36" s="34"/>
      <c r="D36" s="30"/>
      <c r="E36" s="52" t="s">
        <v>37</v>
      </c>
      <c r="F36" s="173">
        <v>1.01</v>
      </c>
      <c r="G36" s="128">
        <v>1.0360400000000001</v>
      </c>
      <c r="H36" s="129">
        <f>+G36*$F$36</f>
        <v>1.0464004</v>
      </c>
      <c r="I36" s="129">
        <f t="shared" ref="I36:U36" si="19">+H36*$F$36</f>
        <v>1.0568644039999999</v>
      </c>
      <c r="J36" s="54">
        <f t="shared" si="19"/>
        <v>1.0674330480399998</v>
      </c>
      <c r="K36" s="54">
        <f t="shared" si="19"/>
        <v>1.0781073785203998</v>
      </c>
      <c r="L36" s="54">
        <f t="shared" si="19"/>
        <v>1.0888884523056039</v>
      </c>
      <c r="M36" s="54">
        <f t="shared" si="19"/>
        <v>1.0997773368286601</v>
      </c>
      <c r="N36" s="54">
        <f t="shared" si="19"/>
        <v>1.1107751101969467</v>
      </c>
      <c r="O36" s="54">
        <f t="shared" si="19"/>
        <v>1.1218828612989162</v>
      </c>
      <c r="P36" s="54">
        <f t="shared" si="19"/>
        <v>1.1331016899119053</v>
      </c>
      <c r="Q36" s="54">
        <f t="shared" si="19"/>
        <v>1.1444327068110243</v>
      </c>
      <c r="R36" s="54">
        <f t="shared" si="19"/>
        <v>1.1558770338791344</v>
      </c>
      <c r="S36" s="54">
        <f t="shared" si="19"/>
        <v>1.1674358042179258</v>
      </c>
      <c r="T36" s="54">
        <f t="shared" si="19"/>
        <v>1.179110162260105</v>
      </c>
      <c r="U36" s="54">
        <f t="shared" si="19"/>
        <v>1.1909012638827061</v>
      </c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5" t="e">
        <f>POWER(#REF!,BB20-$G$72+1)</f>
        <v>#REF!</v>
      </c>
      <c r="BC36" s="33"/>
      <c r="BD36" s="30"/>
    </row>
    <row r="37" spans="2:56">
      <c r="B37" s="14"/>
      <c r="C37" s="34"/>
      <c r="D37" s="30"/>
      <c r="E37" s="52" t="s">
        <v>38</v>
      </c>
      <c r="F37" s="53"/>
      <c r="G37" s="128">
        <v>0.19</v>
      </c>
      <c r="H37" s="129">
        <f>G37</f>
        <v>0.19</v>
      </c>
      <c r="I37" s="129">
        <f>H37</f>
        <v>0.19</v>
      </c>
      <c r="J37" s="143">
        <f>I37</f>
        <v>0.19</v>
      </c>
      <c r="K37" s="143">
        <f t="shared" ref="K37:U37" si="20">J37</f>
        <v>0.19</v>
      </c>
      <c r="L37" s="143">
        <f t="shared" si="20"/>
        <v>0.19</v>
      </c>
      <c r="M37" s="143">
        <f t="shared" si="20"/>
        <v>0.19</v>
      </c>
      <c r="N37" s="143">
        <f t="shared" si="20"/>
        <v>0.19</v>
      </c>
      <c r="O37" s="143">
        <f t="shared" si="20"/>
        <v>0.19</v>
      </c>
      <c r="P37" s="143">
        <f t="shared" si="20"/>
        <v>0.19</v>
      </c>
      <c r="Q37" s="143">
        <f t="shared" si="20"/>
        <v>0.19</v>
      </c>
      <c r="R37" s="143">
        <f t="shared" si="20"/>
        <v>0.19</v>
      </c>
      <c r="S37" s="143">
        <f t="shared" si="20"/>
        <v>0.19</v>
      </c>
      <c r="T37" s="143">
        <f t="shared" si="20"/>
        <v>0.19</v>
      </c>
      <c r="U37" s="143">
        <f t="shared" si="20"/>
        <v>0.19</v>
      </c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5">
        <f>J37</f>
        <v>0.19</v>
      </c>
      <c r="BC37" s="33"/>
      <c r="BD37" s="30"/>
    </row>
    <row r="38" spans="2:56">
      <c r="B38" s="14"/>
      <c r="C38" s="34"/>
      <c r="D38" s="30"/>
      <c r="E38" s="52" t="s">
        <v>39</v>
      </c>
      <c r="F38" s="20" t="s">
        <v>40</v>
      </c>
      <c r="G38" s="113">
        <v>0.36499999999999999</v>
      </c>
      <c r="H38" s="123">
        <f t="shared" ref="H38:J40" si="21">+G38</f>
        <v>0.36499999999999999</v>
      </c>
      <c r="I38" s="123">
        <f t="shared" si="21"/>
        <v>0.36499999999999999</v>
      </c>
      <c r="J38" s="21">
        <f t="shared" si="21"/>
        <v>0.36499999999999999</v>
      </c>
      <c r="K38" s="21">
        <f t="shared" ref="K38:U38" si="22">+J38</f>
        <v>0.36499999999999999</v>
      </c>
      <c r="L38" s="21">
        <f t="shared" si="22"/>
        <v>0.36499999999999999</v>
      </c>
      <c r="M38" s="21">
        <f t="shared" si="22"/>
        <v>0.36499999999999999</v>
      </c>
      <c r="N38" s="21">
        <f t="shared" si="22"/>
        <v>0.36499999999999999</v>
      </c>
      <c r="O38" s="21">
        <f t="shared" si="22"/>
        <v>0.36499999999999999</v>
      </c>
      <c r="P38" s="21">
        <f t="shared" si="22"/>
        <v>0.36499999999999999</v>
      </c>
      <c r="Q38" s="21">
        <f t="shared" si="22"/>
        <v>0.36499999999999999</v>
      </c>
      <c r="R38" s="21">
        <f t="shared" si="22"/>
        <v>0.36499999999999999</v>
      </c>
      <c r="S38" s="21">
        <f t="shared" si="22"/>
        <v>0.36499999999999999</v>
      </c>
      <c r="T38" s="21">
        <f t="shared" si="22"/>
        <v>0.36499999999999999</v>
      </c>
      <c r="U38" s="21">
        <f t="shared" si="22"/>
        <v>0.36499999999999999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2">
        <f>+J38</f>
        <v>0.36499999999999999</v>
      </c>
      <c r="BC38" s="33"/>
      <c r="BD38" s="30"/>
    </row>
    <row r="39" spans="2:56">
      <c r="B39" s="14"/>
      <c r="C39" s="34"/>
      <c r="D39" s="30"/>
      <c r="E39" s="56" t="s">
        <v>41</v>
      </c>
      <c r="F39" s="7" t="s">
        <v>42</v>
      </c>
      <c r="G39" s="130">
        <v>285009</v>
      </c>
      <c r="H39" s="131">
        <f t="shared" si="21"/>
        <v>285009</v>
      </c>
      <c r="I39" s="131">
        <f t="shared" si="21"/>
        <v>285009</v>
      </c>
      <c r="J39" s="144">
        <f t="shared" si="21"/>
        <v>285009</v>
      </c>
      <c r="K39" s="144">
        <f t="shared" ref="K39:U39" si="23">+J39</f>
        <v>285009</v>
      </c>
      <c r="L39" s="144">
        <f t="shared" si="23"/>
        <v>285009</v>
      </c>
      <c r="M39" s="144">
        <f t="shared" si="23"/>
        <v>285009</v>
      </c>
      <c r="N39" s="144">
        <f t="shared" si="23"/>
        <v>285009</v>
      </c>
      <c r="O39" s="144">
        <f t="shared" si="23"/>
        <v>285009</v>
      </c>
      <c r="P39" s="144">
        <f t="shared" si="23"/>
        <v>285009</v>
      </c>
      <c r="Q39" s="144">
        <f t="shared" si="23"/>
        <v>285009</v>
      </c>
      <c r="R39" s="144">
        <f t="shared" si="23"/>
        <v>285009</v>
      </c>
      <c r="S39" s="144">
        <f t="shared" si="23"/>
        <v>285009</v>
      </c>
      <c r="T39" s="144">
        <f t="shared" si="23"/>
        <v>285009</v>
      </c>
      <c r="U39" s="144">
        <f t="shared" si="23"/>
        <v>285009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5"/>
      <c r="BC39" s="33"/>
      <c r="BD39" s="30"/>
    </row>
    <row r="40" spans="2:56">
      <c r="B40" s="14"/>
      <c r="C40" s="34"/>
      <c r="D40" s="30"/>
      <c r="E40" s="56" t="s">
        <v>43</v>
      </c>
      <c r="F40" s="7" t="s">
        <v>12</v>
      </c>
      <c r="G40" s="132">
        <v>0.45</v>
      </c>
      <c r="H40" s="133">
        <f t="shared" si="21"/>
        <v>0.45</v>
      </c>
      <c r="I40" s="133">
        <f t="shared" si="21"/>
        <v>0.45</v>
      </c>
      <c r="J40" s="57">
        <f t="shared" si="21"/>
        <v>0.45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45">
        <v>0</v>
      </c>
      <c r="U40" s="145">
        <v>0</v>
      </c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8">
        <f>+J40</f>
        <v>0.45</v>
      </c>
      <c r="BC40" s="33"/>
      <c r="BD40" s="30"/>
    </row>
    <row r="41" spans="2:56">
      <c r="B41" s="14"/>
      <c r="C41" s="34"/>
      <c r="D41" s="30"/>
      <c r="E41" s="30"/>
      <c r="F41" s="32"/>
      <c r="G41" s="117"/>
      <c r="H41" s="117"/>
      <c r="I41" s="117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3"/>
      <c r="BD41" s="30"/>
    </row>
    <row r="42" spans="2:56">
      <c r="B42" s="14"/>
      <c r="C42" s="34"/>
      <c r="D42" s="30" t="s">
        <v>44</v>
      </c>
      <c r="E42" s="30"/>
      <c r="F42" s="7" t="s">
        <v>6</v>
      </c>
      <c r="G42" s="109">
        <v>2010</v>
      </c>
      <c r="H42" s="109">
        <v>2011</v>
      </c>
      <c r="I42" s="109">
        <v>2012</v>
      </c>
      <c r="J42" s="8">
        <v>2013</v>
      </c>
      <c r="K42" s="8">
        <v>2014</v>
      </c>
      <c r="L42" s="8">
        <v>2015</v>
      </c>
      <c r="M42" s="8">
        <v>2016</v>
      </c>
      <c r="N42" s="8">
        <v>2017</v>
      </c>
      <c r="O42" s="8">
        <v>2018</v>
      </c>
      <c r="P42" s="8">
        <v>2019</v>
      </c>
      <c r="Q42" s="8">
        <v>2020</v>
      </c>
      <c r="R42" s="8">
        <v>2021</v>
      </c>
      <c r="S42" s="8">
        <v>2022</v>
      </c>
      <c r="T42" s="8">
        <v>2023</v>
      </c>
      <c r="U42" s="8">
        <v>2024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9">
        <v>2014</v>
      </c>
      <c r="BC42" s="33"/>
      <c r="BD42" s="30"/>
    </row>
    <row r="43" spans="2:56">
      <c r="B43" s="14"/>
      <c r="C43" s="34"/>
      <c r="D43" s="30"/>
      <c r="E43" s="59" t="s">
        <v>45</v>
      </c>
      <c r="F43" s="11"/>
      <c r="G43" s="121">
        <f>ROUND(+G29*G9,0)</f>
        <v>160</v>
      </c>
      <c r="H43" s="121">
        <f>ROUND(+H29*H9,0)</f>
        <v>160</v>
      </c>
      <c r="I43" s="121">
        <f>ROUND(+I29*I9,0)</f>
        <v>160</v>
      </c>
      <c r="J43" s="27">
        <f>ROUND(+J29*J9,0)</f>
        <v>160</v>
      </c>
      <c r="K43" s="27">
        <f t="shared" ref="K43:U43" si="24">ROUND(+K29*K9,0)</f>
        <v>160</v>
      </c>
      <c r="L43" s="27">
        <f t="shared" si="24"/>
        <v>160</v>
      </c>
      <c r="M43" s="27">
        <f t="shared" si="24"/>
        <v>160</v>
      </c>
      <c r="N43" s="27">
        <f t="shared" si="24"/>
        <v>160</v>
      </c>
      <c r="O43" s="27">
        <f t="shared" si="24"/>
        <v>160</v>
      </c>
      <c r="P43" s="27">
        <f t="shared" si="24"/>
        <v>160</v>
      </c>
      <c r="Q43" s="27">
        <f t="shared" si="24"/>
        <v>160</v>
      </c>
      <c r="R43" s="27">
        <f t="shared" si="24"/>
        <v>160</v>
      </c>
      <c r="S43" s="27">
        <f t="shared" si="24"/>
        <v>160</v>
      </c>
      <c r="T43" s="27">
        <f t="shared" si="24"/>
        <v>160</v>
      </c>
      <c r="U43" s="27">
        <f t="shared" si="24"/>
        <v>160</v>
      </c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9">
        <f>ROUND(+BB29*BB9,0)</f>
        <v>200</v>
      </c>
      <c r="BC43" s="33"/>
      <c r="BD43" s="30"/>
    </row>
    <row r="44" spans="2:56">
      <c r="B44" s="14"/>
      <c r="C44" s="34"/>
      <c r="D44" s="30"/>
      <c r="E44" s="60" t="s">
        <v>46</v>
      </c>
      <c r="F44" s="20" t="s">
        <v>47</v>
      </c>
      <c r="G44" s="123">
        <f>+G43*G10/1000</f>
        <v>720.8</v>
      </c>
      <c r="H44" s="123">
        <f>+H43*H10/1000</f>
        <v>677.12</v>
      </c>
      <c r="I44" s="123">
        <f>+I43*I10/1000</f>
        <v>661.6</v>
      </c>
      <c r="J44" s="21">
        <f t="shared" ref="J44:U44" si="25">+J43*J10/1000</f>
        <v>512</v>
      </c>
      <c r="K44" s="21">
        <f t="shared" si="25"/>
        <v>512</v>
      </c>
      <c r="L44" s="21">
        <f t="shared" si="25"/>
        <v>512</v>
      </c>
      <c r="M44" s="21">
        <f t="shared" si="25"/>
        <v>512</v>
      </c>
      <c r="N44" s="21">
        <f t="shared" si="25"/>
        <v>512</v>
      </c>
      <c r="O44" s="21">
        <f t="shared" si="25"/>
        <v>512</v>
      </c>
      <c r="P44" s="21">
        <f t="shared" si="25"/>
        <v>512</v>
      </c>
      <c r="Q44" s="21">
        <f t="shared" si="25"/>
        <v>512</v>
      </c>
      <c r="R44" s="21">
        <f t="shared" si="25"/>
        <v>512</v>
      </c>
      <c r="S44" s="21">
        <f t="shared" si="25"/>
        <v>512</v>
      </c>
      <c r="T44" s="21">
        <f t="shared" si="25"/>
        <v>512</v>
      </c>
      <c r="U44" s="21">
        <f t="shared" si="25"/>
        <v>512</v>
      </c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2"/>
      <c r="BC44" s="33"/>
      <c r="BD44" s="30"/>
    </row>
    <row r="45" spans="2:56">
      <c r="B45" s="14"/>
      <c r="C45" s="285"/>
      <c r="D45" s="30"/>
      <c r="E45" s="30"/>
      <c r="F45" s="32"/>
      <c r="G45" s="117"/>
      <c r="H45" s="117"/>
      <c r="I45" s="117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3"/>
      <c r="BD45" s="30"/>
    </row>
    <row r="46" spans="2:56">
      <c r="B46" s="14"/>
      <c r="C46" s="34"/>
      <c r="D46" s="30"/>
      <c r="E46" s="30"/>
      <c r="F46" s="7" t="s">
        <v>6</v>
      </c>
      <c r="G46" s="109">
        <v>2010</v>
      </c>
      <c r="H46" s="109">
        <v>2011</v>
      </c>
      <c r="I46" s="109">
        <v>2012</v>
      </c>
      <c r="J46" s="8">
        <v>2013</v>
      </c>
      <c r="K46" s="8">
        <v>2014</v>
      </c>
      <c r="L46" s="8">
        <v>2015</v>
      </c>
      <c r="M46" s="8">
        <v>2016</v>
      </c>
      <c r="N46" s="8">
        <v>2017</v>
      </c>
      <c r="O46" s="8">
        <v>2018</v>
      </c>
      <c r="P46" s="8">
        <v>2019</v>
      </c>
      <c r="Q46" s="8">
        <v>2020</v>
      </c>
      <c r="R46" s="8">
        <v>2021</v>
      </c>
      <c r="S46" s="8">
        <v>2022</v>
      </c>
      <c r="T46" s="8">
        <v>2023</v>
      </c>
      <c r="U46" s="8">
        <v>2024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9">
        <v>2014</v>
      </c>
      <c r="BC46" s="33"/>
      <c r="BD46" s="30"/>
    </row>
    <row r="47" spans="2:56">
      <c r="B47" s="14"/>
      <c r="C47" s="34"/>
      <c r="D47" s="61" t="s">
        <v>48</v>
      </c>
      <c r="E47" s="27"/>
      <c r="F47" s="11"/>
      <c r="G47" s="121"/>
      <c r="H47" s="121"/>
      <c r="I47" s="121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9"/>
      <c r="BC47" s="33"/>
      <c r="BD47" s="30"/>
    </row>
    <row r="48" spans="2:56">
      <c r="B48" s="14"/>
      <c r="C48" s="34"/>
      <c r="D48" s="14"/>
      <c r="E48" s="30" t="s">
        <v>49</v>
      </c>
      <c r="F48" s="15" t="s">
        <v>50</v>
      </c>
      <c r="G48" s="134">
        <f>+G21+(G22*G23)*G13*(1+G25*(G26+G27))+G37</f>
        <v>28.937080931031733</v>
      </c>
      <c r="H48" s="134">
        <f>+H21+(H22*H23)*H13*(1+H25*(H26+H27))+H37</f>
        <v>39.459189126729591</v>
      </c>
      <c r="I48" s="134">
        <f>+I21+(I22*I23)*I13*(1+I25*(I26+I27))+I37</f>
        <v>43.03035749519799</v>
      </c>
      <c r="J48" s="150">
        <f t="shared" ref="J48:U48" si="26">+J21+(J22*J23)*J13*(1+J25*(J26+J27))+J37</f>
        <v>43.077553010737788</v>
      </c>
      <c r="K48" s="150">
        <f t="shared" si="26"/>
        <v>43.124801571477597</v>
      </c>
      <c r="L48" s="150">
        <f t="shared" si="26"/>
        <v>43.17210370786939</v>
      </c>
      <c r="M48" s="150">
        <f t="shared" si="26"/>
        <v>43.219459955669713</v>
      </c>
      <c r="N48" s="150">
        <f t="shared" si="26"/>
        <v>43.266870855992636</v>
      </c>
      <c r="O48" s="150">
        <f t="shared" si="26"/>
        <v>43.272445959823592</v>
      </c>
      <c r="P48" s="150">
        <f t="shared" si="26"/>
        <v>43.319967810232669</v>
      </c>
      <c r="Q48" s="150">
        <f t="shared" si="26"/>
        <v>43.325654973650629</v>
      </c>
      <c r="R48" s="150">
        <f t="shared" si="26"/>
        <v>43.373290004242563</v>
      </c>
      <c r="S48" s="150">
        <f t="shared" si="26"/>
        <v>43.115178207744478</v>
      </c>
      <c r="T48" s="150">
        <f t="shared" si="26"/>
        <v>43.426841965341708</v>
      </c>
      <c r="U48" s="150">
        <f t="shared" si="26"/>
        <v>43.432760050399956</v>
      </c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3"/>
      <c r="BC48" s="33"/>
      <c r="BD48" s="30"/>
    </row>
    <row r="49" spans="2:57" s="39" customFormat="1" ht="11.25">
      <c r="B49" s="63"/>
      <c r="C49" s="64"/>
      <c r="D49" s="63"/>
      <c r="E49" s="65" t="s">
        <v>51</v>
      </c>
      <c r="F49" s="40" t="s">
        <v>50</v>
      </c>
      <c r="G49" s="135">
        <f>+G21+(G22*G23)*G13*(1)+G37</f>
        <v>26.761999493333331</v>
      </c>
      <c r="H49" s="135">
        <f>+H21+(H22*H23)*H13*(1)+H37</f>
        <v>36.473711039999991</v>
      </c>
      <c r="I49" s="135">
        <f>+I21+(I22*I23)*I13*(1)+I37</f>
        <v>39.77010219999999</v>
      </c>
      <c r="J49" s="151">
        <f t="shared" ref="J49:U49" si="27">+J21+(J22*J23)*J13*(1)+J37</f>
        <v>39.814069739999987</v>
      </c>
      <c r="K49" s="151">
        <f t="shared" si="27"/>
        <v>39.858090325199996</v>
      </c>
      <c r="L49" s="151">
        <f t="shared" si="27"/>
        <v>39.902164486051987</v>
      </c>
      <c r="M49" s="151">
        <f t="shared" si="27"/>
        <v>39.946292758312509</v>
      </c>
      <c r="N49" s="151">
        <f t="shared" si="27"/>
        <v>39.990475683095632</v>
      </c>
      <c r="O49" s="151">
        <f t="shared" si="27"/>
        <v>39.996050786926588</v>
      </c>
      <c r="P49" s="151">
        <f t="shared" si="27"/>
        <v>40.040344661795864</v>
      </c>
      <c r="Q49" s="151">
        <f t="shared" si="27"/>
        <v>40.046031825213817</v>
      </c>
      <c r="R49" s="151">
        <f t="shared" si="27"/>
        <v>40.090438880265957</v>
      </c>
      <c r="S49" s="151">
        <f t="shared" si="27"/>
        <v>39.852663329668616</v>
      </c>
      <c r="T49" s="151">
        <f t="shared" si="27"/>
        <v>40.140762865825309</v>
      </c>
      <c r="U49" s="151">
        <f t="shared" si="27"/>
        <v>40.146680950883557</v>
      </c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8"/>
      <c r="BC49" s="68"/>
      <c r="BD49" s="67"/>
    </row>
    <row r="50" spans="2:57" s="39" customFormat="1" ht="11.25">
      <c r="B50" s="63"/>
      <c r="C50" s="64"/>
      <c r="D50" s="63"/>
      <c r="E50" s="65" t="s">
        <v>52</v>
      </c>
      <c r="F50" s="40" t="s">
        <v>50</v>
      </c>
      <c r="G50" s="135">
        <f>+(G22*G23)*G13*(G25*(G26+G27))</f>
        <v>2.1750814376983998</v>
      </c>
      <c r="H50" s="135">
        <f>+(H22*H23)*H13*(H25*(H26+H27))</f>
        <v>2.9854780867295996</v>
      </c>
      <c r="I50" s="135">
        <f>+(I22*I23)*I13*(I25*(I26+I27))</f>
        <v>3.2602552951979993</v>
      </c>
      <c r="J50" s="151">
        <f t="shared" ref="J50:U50" si="28">+(J22*J23)*J13*(J25*(J26+J27))</f>
        <v>3.2634832707377988</v>
      </c>
      <c r="K50" s="151">
        <f t="shared" si="28"/>
        <v>3.2667112462775996</v>
      </c>
      <c r="L50" s="151">
        <f t="shared" si="28"/>
        <v>3.269939221817399</v>
      </c>
      <c r="M50" s="151">
        <f t="shared" si="28"/>
        <v>3.2731671973571994</v>
      </c>
      <c r="N50" s="151">
        <f t="shared" si="28"/>
        <v>3.2763951728969989</v>
      </c>
      <c r="O50" s="151">
        <f t="shared" si="28"/>
        <v>3.2763951728969989</v>
      </c>
      <c r="P50" s="151">
        <f t="shared" si="28"/>
        <v>3.2796231484367993</v>
      </c>
      <c r="Q50" s="151">
        <f t="shared" si="28"/>
        <v>3.2796231484367993</v>
      </c>
      <c r="R50" s="151">
        <f t="shared" si="28"/>
        <v>3.2828511239765996</v>
      </c>
      <c r="S50" s="151">
        <f t="shared" si="28"/>
        <v>3.262514878075859</v>
      </c>
      <c r="T50" s="151">
        <f t="shared" si="28"/>
        <v>3.2860790995163995</v>
      </c>
      <c r="U50" s="151">
        <f t="shared" si="28"/>
        <v>3.2860790995163995</v>
      </c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8"/>
      <c r="BC50" s="68"/>
      <c r="BD50" s="67"/>
    </row>
    <row r="51" spans="2:57" s="69" customFormat="1" ht="12.75">
      <c r="B51" s="70"/>
      <c r="C51" s="286"/>
      <c r="D51" s="71"/>
      <c r="E51" s="72" t="s">
        <v>53</v>
      </c>
      <c r="F51" s="73" t="s">
        <v>54</v>
      </c>
      <c r="G51" s="136">
        <f>+G44*G48</f>
        <v>20857.847935087673</v>
      </c>
      <c r="H51" s="136">
        <f>+H44*H48</f>
        <v>26718.606141491142</v>
      </c>
      <c r="I51" s="136">
        <f>+I44*I48</f>
        <v>28468.88451882299</v>
      </c>
      <c r="J51" s="152">
        <f t="shared" ref="J51:U51" si="29">+J44*J48</f>
        <v>22055.707141497747</v>
      </c>
      <c r="K51" s="152">
        <f t="shared" si="29"/>
        <v>22079.89840459653</v>
      </c>
      <c r="L51" s="152">
        <f t="shared" si="29"/>
        <v>22104.117098429128</v>
      </c>
      <c r="M51" s="152">
        <f t="shared" si="29"/>
        <v>22128.363497302893</v>
      </c>
      <c r="N51" s="152">
        <f t="shared" si="29"/>
        <v>22152.63787826823</v>
      </c>
      <c r="O51" s="152">
        <f t="shared" si="29"/>
        <v>22155.492331429679</v>
      </c>
      <c r="P51" s="152">
        <f t="shared" si="29"/>
        <v>22179.823518839126</v>
      </c>
      <c r="Q51" s="152">
        <f t="shared" si="29"/>
        <v>22182.735346509122</v>
      </c>
      <c r="R51" s="152">
        <f t="shared" si="29"/>
        <v>22207.124482172192</v>
      </c>
      <c r="S51" s="152">
        <f t="shared" si="29"/>
        <v>22074.971242365173</v>
      </c>
      <c r="T51" s="152">
        <f t="shared" si="29"/>
        <v>22234.543086254955</v>
      </c>
      <c r="U51" s="152">
        <f t="shared" si="29"/>
        <v>22237.573145804778</v>
      </c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5"/>
      <c r="BC51" s="76"/>
      <c r="BD51" s="77"/>
    </row>
    <row r="52" spans="2:57">
      <c r="B52" s="14"/>
      <c r="C52" s="34"/>
      <c r="D52" s="61" t="s">
        <v>55</v>
      </c>
      <c r="E52" s="27"/>
      <c r="F52" s="11"/>
      <c r="G52" s="121"/>
      <c r="H52" s="121"/>
      <c r="I52" s="121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9"/>
      <c r="BC52" s="33"/>
      <c r="BD52" s="30"/>
    </row>
    <row r="53" spans="2:57">
      <c r="B53" s="14"/>
      <c r="C53" s="34"/>
      <c r="D53" s="14"/>
      <c r="E53" s="30" t="s">
        <v>56</v>
      </c>
      <c r="F53" s="15" t="s">
        <v>54</v>
      </c>
      <c r="G53" s="134">
        <f>+G29*(G30*G13+G31)/1000</f>
        <v>5.2244765961600006</v>
      </c>
      <c r="H53" s="134">
        <f>+H29*(H30*H13+H31)/1000</f>
        <v>6.2791862601600004</v>
      </c>
      <c r="I53" s="134">
        <f>+I29*(I30*I13+I31)/1000</f>
        <v>6.6424794048000013</v>
      </c>
      <c r="J53" s="150">
        <f t="shared" ref="J53:U53" si="30">+J29*(J30*J13+J31)/1000</f>
        <v>6.6586805740800008</v>
      </c>
      <c r="K53" s="150">
        <f t="shared" si="30"/>
        <v>6.6748817433599994</v>
      </c>
      <c r="L53" s="150">
        <f t="shared" si="30"/>
        <v>6.6856825228800014</v>
      </c>
      <c r="M53" s="150">
        <f t="shared" si="30"/>
        <v>6.6964833024000008</v>
      </c>
      <c r="N53" s="150">
        <f t="shared" si="30"/>
        <v>6.707284081920001</v>
      </c>
      <c r="O53" s="150">
        <f t="shared" si="30"/>
        <v>6.7153846665600012</v>
      </c>
      <c r="P53" s="150">
        <f t="shared" si="30"/>
        <v>6.7234852512000005</v>
      </c>
      <c r="Q53" s="150">
        <f t="shared" si="30"/>
        <v>6.7315858358399998</v>
      </c>
      <c r="R53" s="150">
        <f t="shared" si="30"/>
        <v>6.7423866153600001</v>
      </c>
      <c r="S53" s="150">
        <f t="shared" si="30"/>
        <v>6.7477870051200002</v>
      </c>
      <c r="T53" s="150">
        <f t="shared" si="30"/>
        <v>6.7558875897600004</v>
      </c>
      <c r="U53" s="150">
        <f t="shared" si="30"/>
        <v>6.7639881744000014</v>
      </c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3"/>
      <c r="BC53" s="33"/>
      <c r="BD53" s="30"/>
    </row>
    <row r="54" spans="2:57" s="69" customFormat="1" ht="12.75">
      <c r="B54" s="70"/>
      <c r="C54" s="31"/>
      <c r="D54" s="71"/>
      <c r="E54" s="72" t="s">
        <v>57</v>
      </c>
      <c r="F54" s="73" t="s">
        <v>54</v>
      </c>
      <c r="G54" s="136">
        <f>+G53*G12</f>
        <v>438.85603407744003</v>
      </c>
      <c r="H54" s="136">
        <f>+H53*H12</f>
        <v>1017.2281741459201</v>
      </c>
      <c r="I54" s="136">
        <f>+I53*I12</f>
        <v>1175.7188546496002</v>
      </c>
      <c r="J54" s="152">
        <f t="shared" ref="J54:U54" si="31">+J53*J12</f>
        <v>1131.9756975936002</v>
      </c>
      <c r="K54" s="152">
        <f t="shared" si="31"/>
        <v>1134.7298963711999</v>
      </c>
      <c r="L54" s="152">
        <f t="shared" si="31"/>
        <v>1136.5660288896001</v>
      </c>
      <c r="M54" s="152">
        <f t="shared" si="31"/>
        <v>1138.4021614080002</v>
      </c>
      <c r="N54" s="152">
        <f t="shared" si="31"/>
        <v>1140.2382939264003</v>
      </c>
      <c r="O54" s="152">
        <f t="shared" si="31"/>
        <v>1141.6153933152002</v>
      </c>
      <c r="P54" s="152">
        <f t="shared" si="31"/>
        <v>1142.9924927040001</v>
      </c>
      <c r="Q54" s="152">
        <f t="shared" si="31"/>
        <v>1144.3695920928001</v>
      </c>
      <c r="R54" s="152">
        <f t="shared" si="31"/>
        <v>1146.2057246111999</v>
      </c>
      <c r="S54" s="152">
        <f t="shared" si="31"/>
        <v>1147.1237908703999</v>
      </c>
      <c r="T54" s="152">
        <f t="shared" si="31"/>
        <v>1148.5008902592001</v>
      </c>
      <c r="U54" s="152">
        <f t="shared" si="31"/>
        <v>1149.8779896480003</v>
      </c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5"/>
      <c r="BC54" s="76"/>
      <c r="BD54" s="77"/>
    </row>
    <row r="55" spans="2:57">
      <c r="B55" s="14"/>
      <c r="C55" s="34"/>
      <c r="D55" s="61" t="s">
        <v>58</v>
      </c>
      <c r="E55" s="27"/>
      <c r="F55" s="11"/>
      <c r="G55" s="121"/>
      <c r="H55" s="121"/>
      <c r="I55" s="121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9"/>
      <c r="BC55" s="33"/>
      <c r="BD55" s="30"/>
    </row>
    <row r="56" spans="2:57">
      <c r="B56" s="14"/>
      <c r="C56" s="34"/>
      <c r="D56" s="14"/>
      <c r="E56" s="30" t="s">
        <v>59</v>
      </c>
      <c r="F56" s="15" t="s">
        <v>60</v>
      </c>
      <c r="G56" s="137">
        <f>+G22*G38*(1-G26)*G44</f>
        <v>256.22003696000002</v>
      </c>
      <c r="H56" s="137">
        <f>+H22*H38*(1-H26)*H44</f>
        <v>241.65221068799997</v>
      </c>
      <c r="I56" s="137">
        <f>+I22*I38*(1-I26)*I44</f>
        <v>236.58187479999998</v>
      </c>
      <c r="J56" s="154">
        <f t="shared" ref="J56:U56" si="32">+J22*J38*(1-J26)*J44</f>
        <v>183.26760959999996</v>
      </c>
      <c r="K56" s="154">
        <f t="shared" si="32"/>
        <v>183.44888319999998</v>
      </c>
      <c r="L56" s="154">
        <f t="shared" si="32"/>
        <v>183.63015679999995</v>
      </c>
      <c r="M56" s="154">
        <f t="shared" si="32"/>
        <v>183.81143040000001</v>
      </c>
      <c r="N56" s="154">
        <f t="shared" si="32"/>
        <v>183.99270399999997</v>
      </c>
      <c r="O56" s="154">
        <f t="shared" si="32"/>
        <v>183.99270399999997</v>
      </c>
      <c r="P56" s="154">
        <f t="shared" si="32"/>
        <v>184.1739776</v>
      </c>
      <c r="Q56" s="154">
        <f t="shared" si="32"/>
        <v>184.1739776</v>
      </c>
      <c r="R56" s="154">
        <f t="shared" si="32"/>
        <v>184.35525120000003</v>
      </c>
      <c r="S56" s="154">
        <f t="shared" si="32"/>
        <v>183.21322751999998</v>
      </c>
      <c r="T56" s="154">
        <f t="shared" si="32"/>
        <v>184.5365248</v>
      </c>
      <c r="U56" s="154">
        <f t="shared" si="32"/>
        <v>184.5365248</v>
      </c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3"/>
      <c r="BC56" s="33"/>
      <c r="BD56" s="30"/>
    </row>
    <row r="57" spans="2:57" s="69" customFormat="1">
      <c r="B57" s="70"/>
      <c r="C57" s="31"/>
      <c r="D57" s="71"/>
      <c r="E57" s="72" t="s">
        <v>61</v>
      </c>
      <c r="F57" s="73" t="s">
        <v>54</v>
      </c>
      <c r="G57" s="136">
        <f>+G56*G14</f>
        <v>3458.9704989600004</v>
      </c>
      <c r="H57" s="136">
        <f>+H56*H14</f>
        <v>3383.1309496319996</v>
      </c>
      <c r="I57" s="136">
        <f>+I56*I14</f>
        <v>3548.7281219999995</v>
      </c>
      <c r="J57" s="152">
        <f t="shared" ref="J57:U57" si="33">+J56*J14</f>
        <v>2749.0141439999993</v>
      </c>
      <c r="K57" s="152">
        <f t="shared" si="33"/>
        <v>2751.7332479999995</v>
      </c>
      <c r="L57" s="152">
        <f t="shared" si="33"/>
        <v>2754.4523519999993</v>
      </c>
      <c r="M57" s="152">
        <f t="shared" si="33"/>
        <v>2757.171456</v>
      </c>
      <c r="N57" s="152">
        <f t="shared" si="33"/>
        <v>2759.8905599999998</v>
      </c>
      <c r="O57" s="152">
        <f t="shared" si="33"/>
        <v>2759.8905599999998</v>
      </c>
      <c r="P57" s="152">
        <f t="shared" si="33"/>
        <v>2762.6096640000001</v>
      </c>
      <c r="Q57" s="152">
        <f t="shared" si="33"/>
        <v>2762.6096640000001</v>
      </c>
      <c r="R57" s="152">
        <f t="shared" si="33"/>
        <v>2765.3287680000003</v>
      </c>
      <c r="S57" s="152">
        <f t="shared" si="33"/>
        <v>2748.1984127999995</v>
      </c>
      <c r="T57" s="152">
        <f t="shared" si="33"/>
        <v>2768.0478720000001</v>
      </c>
      <c r="U57" s="152">
        <f t="shared" si="33"/>
        <v>2768.0478720000001</v>
      </c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5"/>
      <c r="BC57" s="76"/>
      <c r="BD57" s="77"/>
      <c r="BE57"/>
    </row>
    <row r="58" spans="2:57" s="69" customFormat="1">
      <c r="B58" s="70"/>
      <c r="C58" s="31"/>
      <c r="D58" s="79" t="s">
        <v>62</v>
      </c>
      <c r="E58" s="77"/>
      <c r="F58" s="80"/>
      <c r="G58" s="138"/>
      <c r="H58" s="138"/>
      <c r="I58" s="138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6"/>
      <c r="BC58" s="76"/>
      <c r="BD58" s="77"/>
      <c r="BE58"/>
    </row>
    <row r="59" spans="2:57" s="69" customFormat="1">
      <c r="B59" s="70"/>
      <c r="C59" s="31"/>
      <c r="D59" s="70"/>
      <c r="E59" s="77" t="s">
        <v>63</v>
      </c>
      <c r="F59" s="15" t="s">
        <v>64</v>
      </c>
      <c r="G59" s="138">
        <f>+G23*G44*(1-G26)</f>
        <v>1342.884037333333</v>
      </c>
      <c r="H59" s="138">
        <f>+H23*H44*(1-H26)</f>
        <v>1261.5061589333332</v>
      </c>
      <c r="I59" s="138">
        <f>+I23*I44*(1-I26)</f>
        <v>1232.5916746666667</v>
      </c>
      <c r="J59" s="155">
        <f t="shared" ref="J59:U59" si="34">+J23*J44*(1-J26)</f>
        <v>953.87989333333326</v>
      </c>
      <c r="K59" s="155">
        <f t="shared" si="34"/>
        <v>953.87989333333326</v>
      </c>
      <c r="L59" s="155">
        <f t="shared" si="34"/>
        <v>953.87989333333326</v>
      </c>
      <c r="M59" s="155">
        <f t="shared" si="34"/>
        <v>953.87989333333326</v>
      </c>
      <c r="N59" s="155">
        <f t="shared" si="34"/>
        <v>953.87989333333326</v>
      </c>
      <c r="O59" s="155">
        <f t="shared" si="34"/>
        <v>953.87989333333326</v>
      </c>
      <c r="P59" s="155">
        <f t="shared" si="34"/>
        <v>953.87989333333326</v>
      </c>
      <c r="Q59" s="155">
        <f t="shared" si="34"/>
        <v>953.87989333333326</v>
      </c>
      <c r="R59" s="155">
        <f t="shared" si="34"/>
        <v>953.87989333333326</v>
      </c>
      <c r="S59" s="155">
        <f t="shared" si="34"/>
        <v>953.87989333333326</v>
      </c>
      <c r="T59" s="155">
        <f t="shared" si="34"/>
        <v>953.87989333333326</v>
      </c>
      <c r="U59" s="155">
        <f t="shared" si="34"/>
        <v>953.87989333333326</v>
      </c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6"/>
      <c r="BC59" s="76"/>
      <c r="BD59" s="77"/>
    </row>
    <row r="60" spans="2:57" s="69" customFormat="1" ht="12.75">
      <c r="B60" s="70"/>
      <c r="C60" s="31"/>
      <c r="D60" s="70"/>
      <c r="E60" s="77" t="s">
        <v>65</v>
      </c>
      <c r="F60" s="80" t="s">
        <v>54</v>
      </c>
      <c r="G60" s="138">
        <f>+(G22*G23)*(1+G25*(G26+G27))*G40*G44</f>
        <v>677.70066401106237</v>
      </c>
      <c r="H60" s="138">
        <f>+(H22*H23)*(1+H25*(H26+H27))*H40*H44</f>
        <v>639.16883935414273</v>
      </c>
      <c r="I60" s="138">
        <f>+(I22*I23)*(1+I25*(I26+I27))*I40*I44</f>
        <v>625.75782732391201</v>
      </c>
      <c r="J60" s="155">
        <f t="shared" ref="J60:U60" si="35">+(J22*J23)*(1+J25*(J26+J27))*J40*J44</f>
        <v>484.74187339622392</v>
      </c>
      <c r="K60" s="155">
        <f t="shared" si="35"/>
        <v>0</v>
      </c>
      <c r="L60" s="155">
        <f t="shared" si="35"/>
        <v>0</v>
      </c>
      <c r="M60" s="155">
        <f t="shared" si="35"/>
        <v>0</v>
      </c>
      <c r="N60" s="155">
        <f t="shared" si="35"/>
        <v>0</v>
      </c>
      <c r="O60" s="155">
        <f t="shared" si="35"/>
        <v>0</v>
      </c>
      <c r="P60" s="155">
        <f t="shared" si="35"/>
        <v>0</v>
      </c>
      <c r="Q60" s="155">
        <f t="shared" si="35"/>
        <v>0</v>
      </c>
      <c r="R60" s="155">
        <f t="shared" si="35"/>
        <v>0</v>
      </c>
      <c r="S60" s="155">
        <f t="shared" si="35"/>
        <v>0</v>
      </c>
      <c r="T60" s="155">
        <f t="shared" si="35"/>
        <v>0</v>
      </c>
      <c r="U60" s="155">
        <f t="shared" si="35"/>
        <v>0</v>
      </c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6"/>
      <c r="BC60" s="76"/>
      <c r="BD60" s="77"/>
    </row>
    <row r="61" spans="2:57" s="69" customFormat="1" ht="12.75">
      <c r="B61" s="70"/>
      <c r="C61" s="31"/>
      <c r="D61" s="82" t="s">
        <v>66</v>
      </c>
      <c r="E61" s="83"/>
      <c r="F61" s="84"/>
      <c r="G61" s="139">
        <f>+G51+G54+G57+G60</f>
        <v>25433.375132136174</v>
      </c>
      <c r="H61" s="139">
        <f>+H51+H54+H57+H60</f>
        <v>31758.134104623205</v>
      </c>
      <c r="I61" s="139">
        <f>+I51+I54+I57+I60</f>
        <v>33819.089322796499</v>
      </c>
      <c r="J61" s="156">
        <f t="shared" ref="J61:U61" si="36">+J51+J54+J57+J60</f>
        <v>26421.43885648757</v>
      </c>
      <c r="K61" s="156">
        <f t="shared" si="36"/>
        <v>25966.361548967729</v>
      </c>
      <c r="L61" s="156">
        <f t="shared" si="36"/>
        <v>25995.135479318727</v>
      </c>
      <c r="M61" s="156">
        <f t="shared" si="36"/>
        <v>26023.937114710894</v>
      </c>
      <c r="N61" s="156">
        <f t="shared" si="36"/>
        <v>26052.766732194628</v>
      </c>
      <c r="O61" s="156">
        <f t="shared" si="36"/>
        <v>26056.998284744881</v>
      </c>
      <c r="P61" s="156">
        <f t="shared" si="36"/>
        <v>26085.425675543127</v>
      </c>
      <c r="Q61" s="156">
        <f t="shared" si="36"/>
        <v>26089.714602601922</v>
      </c>
      <c r="R61" s="156">
        <f t="shared" si="36"/>
        <v>26118.658974783393</v>
      </c>
      <c r="S61" s="156">
        <f t="shared" si="36"/>
        <v>25970.293446035572</v>
      </c>
      <c r="T61" s="156">
        <f t="shared" si="36"/>
        <v>26151.091848514156</v>
      </c>
      <c r="U61" s="156">
        <f t="shared" si="36"/>
        <v>26155.499007452778</v>
      </c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6"/>
      <c r="BC61" s="76"/>
      <c r="BD61" s="77"/>
    </row>
    <row r="62" spans="2:57">
      <c r="B62" s="14"/>
      <c r="C62" s="34"/>
      <c r="D62" s="61" t="s">
        <v>67</v>
      </c>
      <c r="E62" s="27"/>
      <c r="F62" s="11"/>
      <c r="G62" s="121"/>
      <c r="H62" s="121"/>
      <c r="I62" s="121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9"/>
      <c r="BC62" s="33"/>
      <c r="BD62" s="30"/>
    </row>
    <row r="63" spans="2:57" s="69" customFormat="1" ht="12.75">
      <c r="B63" s="70"/>
      <c r="C63" s="31"/>
      <c r="D63" s="71"/>
      <c r="E63" s="72" t="s">
        <v>68</v>
      </c>
      <c r="F63" s="73" t="s">
        <v>54</v>
      </c>
      <c r="G63" s="136">
        <f>+G32*G29*(G33*G35/$F$35+G34*G36/$F$36)/1000*G15/12</f>
        <v>1856.3141152738556</v>
      </c>
      <c r="H63" s="136">
        <f>+H32*H29*(H33*H35/$F$35+H34*H36/$F$36)/1000*H15/12</f>
        <v>2832.4699066112776</v>
      </c>
      <c r="I63" s="136">
        <f>+I32*I29*(I33*I35/$F$35+I34*I36/$F$36)/1000*I15/12</f>
        <v>2875.4319279668211</v>
      </c>
      <c r="J63" s="152">
        <f t="shared" ref="J63:U63" si="37">+J32*J29*(J33*J35/$F$35+J34*J36/$F$36)/1000*J15/12</f>
        <v>2917.888825622425</v>
      </c>
      <c r="K63" s="152">
        <f t="shared" si="37"/>
        <v>2961.0062033700488</v>
      </c>
      <c r="L63" s="152">
        <f t="shared" si="37"/>
        <v>3002.3699894030342</v>
      </c>
      <c r="M63" s="152">
        <f t="shared" si="37"/>
        <v>3044.3567720410797</v>
      </c>
      <c r="N63" s="152">
        <f t="shared" si="37"/>
        <v>3086.9768252068734</v>
      </c>
      <c r="O63" s="152">
        <f t="shared" si="37"/>
        <v>3128.9824719957419</v>
      </c>
      <c r="P63" s="152">
        <f t="shared" si="37"/>
        <v>3171.61128572609</v>
      </c>
      <c r="Q63" s="152">
        <f t="shared" si="37"/>
        <v>3214.8734548906432</v>
      </c>
      <c r="R63" s="152">
        <f t="shared" si="37"/>
        <v>3260.0849504643779</v>
      </c>
      <c r="S63" s="152">
        <f t="shared" si="37"/>
        <v>3303.3395258590044</v>
      </c>
      <c r="T63" s="152">
        <f t="shared" si="37"/>
        <v>3348.5647274614389</v>
      </c>
      <c r="U63" s="152">
        <f t="shared" si="37"/>
        <v>3394.4658912217296</v>
      </c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5"/>
      <c r="BC63" s="76"/>
      <c r="BD63" s="77"/>
    </row>
    <row r="64" spans="2:57">
      <c r="B64" s="14"/>
      <c r="C64" s="34"/>
      <c r="D64" s="79" t="s">
        <v>69</v>
      </c>
      <c r="E64" s="30"/>
      <c r="F64" s="15"/>
      <c r="G64" s="117"/>
      <c r="H64" s="117"/>
      <c r="I64" s="11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3"/>
      <c r="BC64" s="33"/>
      <c r="BD64" s="30"/>
    </row>
    <row r="65" spans="2:59" s="69" customFormat="1" ht="12.75">
      <c r="B65" s="70"/>
      <c r="C65" s="31"/>
      <c r="D65" s="70"/>
      <c r="E65" s="77" t="s">
        <v>70</v>
      </c>
      <c r="F65" s="80" t="s">
        <v>54</v>
      </c>
      <c r="G65" s="138">
        <f>+G39*G29*G15/1000</f>
        <v>445.25246016</v>
      </c>
      <c r="H65" s="138">
        <f>+H39*H29*H15/1000</f>
        <v>671.16199391999999</v>
      </c>
      <c r="I65" s="138">
        <f>+I39*I29*I15/1000</f>
        <v>673.07725440000013</v>
      </c>
      <c r="J65" s="155">
        <f t="shared" ref="J65:U65" si="38">+J39*J29*J15/1000</f>
        <v>674.71890624000002</v>
      </c>
      <c r="K65" s="155">
        <f t="shared" si="38"/>
        <v>676.36055807999992</v>
      </c>
      <c r="L65" s="155">
        <f t="shared" si="38"/>
        <v>677.45499264000023</v>
      </c>
      <c r="M65" s="155">
        <f t="shared" si="38"/>
        <v>678.54942720000008</v>
      </c>
      <c r="N65" s="155">
        <f t="shared" si="38"/>
        <v>679.64386176000005</v>
      </c>
      <c r="O65" s="155">
        <f t="shared" si="38"/>
        <v>680.46468768000011</v>
      </c>
      <c r="P65" s="155">
        <f t="shared" si="38"/>
        <v>681.28551360000006</v>
      </c>
      <c r="Q65" s="155">
        <f t="shared" si="38"/>
        <v>682.10633952000001</v>
      </c>
      <c r="R65" s="155">
        <f t="shared" si="38"/>
        <v>683.20077407999997</v>
      </c>
      <c r="S65" s="155">
        <f t="shared" si="38"/>
        <v>683.74799136000001</v>
      </c>
      <c r="T65" s="155">
        <f t="shared" si="38"/>
        <v>684.56881728000008</v>
      </c>
      <c r="U65" s="155">
        <f t="shared" si="38"/>
        <v>685.38964320000002</v>
      </c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6"/>
      <c r="BC65" s="76"/>
      <c r="BD65" s="77"/>
    </row>
    <row r="66" spans="2:59" s="69" customFormat="1" ht="12.75">
      <c r="B66" s="70"/>
      <c r="C66" s="31"/>
      <c r="D66" s="82" t="s">
        <v>71</v>
      </c>
      <c r="E66" s="83"/>
      <c r="F66" s="84"/>
      <c r="G66" s="139">
        <f>+G65+G63</f>
        <v>2301.5665754338556</v>
      </c>
      <c r="H66" s="139">
        <f>+H65+H63</f>
        <v>3503.6319005312776</v>
      </c>
      <c r="I66" s="139">
        <f>+I65+I63</f>
        <v>3548.5091823668213</v>
      </c>
      <c r="J66" s="156">
        <f t="shared" ref="J66:U66" si="39">+J65+J63</f>
        <v>3592.6077318624248</v>
      </c>
      <c r="K66" s="156">
        <f t="shared" si="39"/>
        <v>3637.3667614500487</v>
      </c>
      <c r="L66" s="156">
        <f t="shared" si="39"/>
        <v>3679.8249820430347</v>
      </c>
      <c r="M66" s="156">
        <f t="shared" si="39"/>
        <v>3722.9061992410798</v>
      </c>
      <c r="N66" s="156">
        <f t="shared" si="39"/>
        <v>3766.6206869668736</v>
      </c>
      <c r="O66" s="156">
        <f t="shared" si="39"/>
        <v>3809.4471596757421</v>
      </c>
      <c r="P66" s="156">
        <f t="shared" si="39"/>
        <v>3852.8967993260903</v>
      </c>
      <c r="Q66" s="156">
        <f t="shared" si="39"/>
        <v>3896.9797944106431</v>
      </c>
      <c r="R66" s="156">
        <f t="shared" si="39"/>
        <v>3943.2857245443779</v>
      </c>
      <c r="S66" s="156">
        <f t="shared" si="39"/>
        <v>3987.0875172190044</v>
      </c>
      <c r="T66" s="156">
        <f t="shared" si="39"/>
        <v>4033.133544741439</v>
      </c>
      <c r="U66" s="156">
        <f t="shared" si="39"/>
        <v>4079.8555344217298</v>
      </c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6"/>
      <c r="BC66" s="76"/>
      <c r="BD66" s="77"/>
    </row>
    <row r="67" spans="2:59">
      <c r="B67" s="14"/>
      <c r="C67" s="34"/>
      <c r="D67" s="82" t="s">
        <v>72</v>
      </c>
      <c r="E67" s="83"/>
      <c r="F67" s="84"/>
      <c r="G67" s="139">
        <f t="shared" ref="G67:I67" si="40">+G65+G63+G57+G54+G51+G60</f>
        <v>27734.941707570033</v>
      </c>
      <c r="H67" s="139">
        <f t="shared" si="40"/>
        <v>35261.766005154481</v>
      </c>
      <c r="I67" s="139">
        <f t="shared" si="40"/>
        <v>37367.598505163325</v>
      </c>
      <c r="J67" s="156">
        <f>+J65+J63+J57+J54+J51+J60</f>
        <v>30014.046588349993</v>
      </c>
      <c r="K67" s="156">
        <f t="shared" ref="K67:U67" si="41">+K65+K63+K57+K54+K51+K60</f>
        <v>29603.728310417777</v>
      </c>
      <c r="L67" s="156">
        <f t="shared" si="41"/>
        <v>29674.960461361763</v>
      </c>
      <c r="M67" s="156">
        <f t="shared" si="41"/>
        <v>29746.843313951973</v>
      </c>
      <c r="N67" s="156">
        <f t="shared" si="41"/>
        <v>29819.387419161503</v>
      </c>
      <c r="O67" s="156">
        <f t="shared" si="41"/>
        <v>29866.44544442062</v>
      </c>
      <c r="P67" s="156">
        <f t="shared" si="41"/>
        <v>29938.322474869216</v>
      </c>
      <c r="Q67" s="156">
        <f t="shared" si="41"/>
        <v>29986.694397012565</v>
      </c>
      <c r="R67" s="156">
        <f t="shared" si="41"/>
        <v>30061.944699327771</v>
      </c>
      <c r="S67" s="156">
        <f t="shared" si="41"/>
        <v>29957.380963254574</v>
      </c>
      <c r="T67" s="156">
        <f t="shared" si="41"/>
        <v>30184.225393255594</v>
      </c>
      <c r="U67" s="156">
        <f t="shared" si="41"/>
        <v>30235.354541874509</v>
      </c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7">
        <f>+BB65+BB63+BB57+BB54+BB51</f>
        <v>0</v>
      </c>
      <c r="BC67" s="33"/>
      <c r="BD67" s="30"/>
    </row>
    <row r="68" spans="2:59">
      <c r="B68" s="19"/>
      <c r="C68" s="88"/>
      <c r="D68" s="161" t="s">
        <v>81</v>
      </c>
      <c r="E68" s="161"/>
      <c r="F68" s="162"/>
      <c r="G68" s="163">
        <f>+G67/G11/G29*1000</f>
        <v>38.49380074456473</v>
      </c>
      <c r="H68" s="163">
        <f t="shared" ref="H68:U68" si="42">+H67/H11/H29*1000</f>
        <v>52.097064893812451</v>
      </c>
      <c r="I68" s="163">
        <f t="shared" si="42"/>
        <v>56.481215515243598</v>
      </c>
      <c r="J68" s="163">
        <f t="shared" si="42"/>
        <v>58.623353806961937</v>
      </c>
      <c r="K68" s="163">
        <f t="shared" si="42"/>
        <v>57.824176493698246</v>
      </c>
      <c r="L68" s="163">
        <f t="shared" si="42"/>
        <v>57.94129299802578</v>
      </c>
      <c r="M68" s="163">
        <f t="shared" si="42"/>
        <v>58.131857187587492</v>
      </c>
      <c r="N68" s="163">
        <f t="shared" si="42"/>
        <v>58.252058944249214</v>
      </c>
      <c r="O68" s="163">
        <f t="shared" si="42"/>
        <v>58.346087474403227</v>
      </c>
      <c r="P68" s="163">
        <f t="shared" si="42"/>
        <v>58.488785611916093</v>
      </c>
      <c r="Q68" s="163">
        <f t="shared" si="42"/>
        <v>58.585748318899064</v>
      </c>
      <c r="R68" s="163">
        <f t="shared" si="42"/>
        <v>58.71188821429616</v>
      </c>
      <c r="S68" s="163">
        <f t="shared" si="42"/>
        <v>58.53392326316186</v>
      </c>
      <c r="T68" s="163">
        <f t="shared" si="42"/>
        <v>58.980165275741697</v>
      </c>
      <c r="U68" s="163">
        <f t="shared" si="42"/>
        <v>59.08326388786201</v>
      </c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2"/>
      <c r="BD68" s="30"/>
    </row>
    <row r="70" spans="2:59">
      <c r="B70" s="10"/>
      <c r="C70" s="26"/>
      <c r="D70" s="27"/>
      <c r="E70" s="27"/>
      <c r="F70" s="28"/>
      <c r="G70" s="27"/>
      <c r="H70" s="27"/>
      <c r="I70" s="27"/>
      <c r="J70" s="200">
        <f>+J63+J65</f>
        <v>3592.6077318624248</v>
      </c>
      <c r="K70" s="27">
        <f>+J70/160*800</f>
        <v>17963.038659312126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9"/>
      <c r="BD70" s="30"/>
      <c r="BF70" s="35" t="s">
        <v>73</v>
      </c>
      <c r="BG70" s="35"/>
    </row>
    <row r="71" spans="2:59">
      <c r="B71" s="14"/>
      <c r="C71" s="31" t="s">
        <v>96</v>
      </c>
      <c r="D71" s="30"/>
      <c r="E71" s="30"/>
      <c r="F71" s="32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3"/>
      <c r="BD71" s="30"/>
    </row>
    <row r="72" spans="2:59">
      <c r="B72" s="14"/>
      <c r="C72" s="34"/>
      <c r="D72" s="30" t="s">
        <v>17</v>
      </c>
      <c r="E72" s="30"/>
      <c r="F72" s="7" t="s">
        <v>6</v>
      </c>
      <c r="G72" s="109">
        <v>2010</v>
      </c>
      <c r="H72" s="109">
        <v>2011</v>
      </c>
      <c r="I72" s="109">
        <v>2012</v>
      </c>
      <c r="J72" s="8">
        <v>2013</v>
      </c>
      <c r="K72" s="8">
        <v>2014</v>
      </c>
      <c r="L72" s="8">
        <v>2015</v>
      </c>
      <c r="M72" s="8">
        <v>2016</v>
      </c>
      <c r="N72" s="8">
        <v>2017</v>
      </c>
      <c r="O72" s="8">
        <v>2018</v>
      </c>
      <c r="P72" s="8">
        <v>2019</v>
      </c>
      <c r="Q72" s="8">
        <v>2020</v>
      </c>
      <c r="R72" s="8">
        <v>2021</v>
      </c>
      <c r="S72" s="8">
        <v>2022</v>
      </c>
      <c r="T72" s="8">
        <v>2023</v>
      </c>
      <c r="U72" s="8">
        <v>2024</v>
      </c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9">
        <v>2014</v>
      </c>
      <c r="BC72" s="33"/>
      <c r="BD72" s="30"/>
    </row>
    <row r="73" spans="2:59">
      <c r="B73" s="14"/>
      <c r="C73" s="34"/>
      <c r="D73" s="30"/>
      <c r="E73" s="10" t="s">
        <v>88</v>
      </c>
      <c r="F73" s="11"/>
      <c r="G73" s="169">
        <f>+G24</f>
        <v>0.51857823824452276</v>
      </c>
      <c r="H73" s="169">
        <f t="shared" ref="H73:J73" si="43">+H24</f>
        <v>0.5165203880927588</v>
      </c>
      <c r="I73" s="169">
        <f t="shared" si="43"/>
        <v>0.51549757544307018</v>
      </c>
      <c r="J73" s="169">
        <f t="shared" si="43"/>
        <v>0.51498768664441241</v>
      </c>
      <c r="K73" s="169">
        <f t="shared" ref="K73:U73" si="44">+K24</f>
        <v>0.51447880553112735</v>
      </c>
      <c r="L73" s="169">
        <f t="shared" si="44"/>
        <v>0.51397092911895448</v>
      </c>
      <c r="M73" s="169">
        <f t="shared" si="44"/>
        <v>0.51346405443540521</v>
      </c>
      <c r="N73" s="169">
        <f t="shared" si="44"/>
        <v>0.51295817851970538</v>
      </c>
      <c r="O73" s="169">
        <f t="shared" si="44"/>
        <v>0.51295817851970538</v>
      </c>
      <c r="P73" s="169">
        <f t="shared" si="44"/>
        <v>0.51245329842273701</v>
      </c>
      <c r="Q73" s="169">
        <f t="shared" si="44"/>
        <v>0.51245329842273701</v>
      </c>
      <c r="R73" s="169">
        <f t="shared" si="44"/>
        <v>0.51194941120698212</v>
      </c>
      <c r="S73" s="169">
        <f t="shared" si="44"/>
        <v>0.51514054734095271</v>
      </c>
      <c r="T73" s="169">
        <f t="shared" si="44"/>
        <v>0.51144651394646445</v>
      </c>
      <c r="U73" s="169">
        <f t="shared" si="44"/>
        <v>0.51144651394646445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3">
        <v>0.6</v>
      </c>
      <c r="BC73" s="33"/>
      <c r="BD73" s="30"/>
    </row>
    <row r="74" spans="2:59">
      <c r="B74" s="14"/>
      <c r="C74" s="34"/>
      <c r="D74" s="30"/>
      <c r="E74" s="19" t="s">
        <v>87</v>
      </c>
      <c r="F74" s="20"/>
      <c r="G74" s="43">
        <v>0.502</v>
      </c>
      <c r="H74" s="43">
        <v>0.502</v>
      </c>
      <c r="I74" s="43">
        <v>0.502</v>
      </c>
      <c r="J74" s="43">
        <v>0.502</v>
      </c>
      <c r="K74" s="43">
        <v>0.502</v>
      </c>
      <c r="L74" s="43">
        <v>0.502</v>
      </c>
      <c r="M74" s="43">
        <v>0.502</v>
      </c>
      <c r="N74" s="43">
        <v>0.502</v>
      </c>
      <c r="O74" s="43">
        <v>0.502</v>
      </c>
      <c r="P74" s="43">
        <v>0.502</v>
      </c>
      <c r="Q74" s="43">
        <v>0.502</v>
      </c>
      <c r="R74" s="43">
        <v>0.502</v>
      </c>
      <c r="S74" s="43">
        <v>0.502</v>
      </c>
      <c r="T74" s="43">
        <v>0.502</v>
      </c>
      <c r="U74" s="43">
        <v>0.502</v>
      </c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8">
        <v>1.012</v>
      </c>
      <c r="BC74" s="33"/>
      <c r="BD74" s="30"/>
    </row>
    <row r="75" spans="2:59">
      <c r="B75" s="14"/>
      <c r="C75" s="34"/>
      <c r="D75" s="30"/>
      <c r="E75" s="10" t="s">
        <v>84</v>
      </c>
      <c r="F75" s="11" t="s">
        <v>29</v>
      </c>
      <c r="G75" s="146">
        <v>-1</v>
      </c>
      <c r="H75" s="146">
        <v>-1</v>
      </c>
      <c r="I75" s="146">
        <v>-0.5</v>
      </c>
      <c r="J75" s="146">
        <v>-0.5</v>
      </c>
      <c r="K75" s="146">
        <v>-1</v>
      </c>
      <c r="L75" s="146">
        <v>-1</v>
      </c>
      <c r="M75" s="146">
        <v>-1</v>
      </c>
      <c r="N75" s="146">
        <v>-1</v>
      </c>
      <c r="O75" s="146">
        <v>-1</v>
      </c>
      <c r="P75" s="146">
        <v>-1</v>
      </c>
      <c r="Q75" s="146">
        <v>-1</v>
      </c>
      <c r="R75" s="146">
        <v>-1</v>
      </c>
      <c r="S75" s="146">
        <v>-1</v>
      </c>
      <c r="T75" s="146">
        <v>-1</v>
      </c>
      <c r="U75" s="146">
        <v>-1</v>
      </c>
      <c r="V75" s="146">
        <v>-1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8"/>
      <c r="BC75" s="33"/>
      <c r="BD75" s="30"/>
    </row>
    <row r="76" spans="2:59">
      <c r="B76" s="14"/>
      <c r="C76" s="34"/>
      <c r="D76" s="30"/>
      <c r="E76" s="14" t="s">
        <v>85</v>
      </c>
      <c r="F76" s="15" t="s">
        <v>29</v>
      </c>
      <c r="G76" s="181">
        <f>+G75+G13</f>
        <v>12.51</v>
      </c>
      <c r="H76" s="30">
        <f>+H75+H13</f>
        <v>17.47</v>
      </c>
      <c r="I76" s="30">
        <f>+I75+I13</f>
        <v>19.63</v>
      </c>
      <c r="J76" s="30">
        <f>+J75+J13</f>
        <v>19.63</v>
      </c>
      <c r="K76" s="30">
        <f t="shared" ref="K76:U76" si="45">+K75+K13</f>
        <v>19.13</v>
      </c>
      <c r="L76" s="30">
        <f t="shared" si="45"/>
        <v>19.13</v>
      </c>
      <c r="M76" s="30">
        <f t="shared" si="45"/>
        <v>19.13</v>
      </c>
      <c r="N76" s="30">
        <f t="shared" si="45"/>
        <v>19.13</v>
      </c>
      <c r="O76" s="30">
        <f t="shared" si="45"/>
        <v>19.13</v>
      </c>
      <c r="P76" s="30">
        <f t="shared" si="45"/>
        <v>19.13</v>
      </c>
      <c r="Q76" s="30">
        <f t="shared" si="45"/>
        <v>19.13</v>
      </c>
      <c r="R76" s="30">
        <f t="shared" si="45"/>
        <v>19.13</v>
      </c>
      <c r="S76" s="30">
        <f t="shared" si="45"/>
        <v>19.13</v>
      </c>
      <c r="T76" s="30">
        <f t="shared" si="45"/>
        <v>19.13</v>
      </c>
      <c r="U76" s="30">
        <f t="shared" si="45"/>
        <v>19.13</v>
      </c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2" t="e">
        <f>+#REF!</f>
        <v>#REF!</v>
      </c>
      <c r="BC76" s="33"/>
      <c r="BD76" s="30"/>
    </row>
    <row r="77" spans="2:59">
      <c r="B77" s="14"/>
      <c r="C77" s="34"/>
      <c r="D77" s="30"/>
      <c r="E77" s="52" t="s">
        <v>89</v>
      </c>
      <c r="F77" s="20" t="s">
        <v>29</v>
      </c>
      <c r="G77" s="21">
        <v>1.05</v>
      </c>
      <c r="H77" s="21">
        <v>1.05</v>
      </c>
      <c r="I77" s="21">
        <v>1.05</v>
      </c>
      <c r="J77" s="21">
        <v>1.05</v>
      </c>
      <c r="K77" s="21">
        <v>1.05</v>
      </c>
      <c r="L77" s="21">
        <v>1.05</v>
      </c>
      <c r="M77" s="21">
        <v>1.05</v>
      </c>
      <c r="N77" s="21">
        <v>1.05</v>
      </c>
      <c r="O77" s="21">
        <v>1.05</v>
      </c>
      <c r="P77" s="21">
        <v>1.05</v>
      </c>
      <c r="Q77" s="21">
        <v>1.05</v>
      </c>
      <c r="R77" s="21">
        <v>1.05</v>
      </c>
      <c r="S77" s="21">
        <v>1.05</v>
      </c>
      <c r="T77" s="21">
        <v>1.05</v>
      </c>
      <c r="U77" s="21">
        <v>1.05</v>
      </c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2"/>
      <c r="BC77" s="33"/>
      <c r="BD77" s="30"/>
    </row>
    <row r="78" spans="2:59">
      <c r="B78" s="14"/>
      <c r="C78" s="34"/>
      <c r="D78" s="30"/>
      <c r="E78" s="10" t="s">
        <v>90</v>
      </c>
      <c r="F78" s="11" t="s">
        <v>50</v>
      </c>
      <c r="G78" s="12">
        <v>2</v>
      </c>
      <c r="H78" s="27">
        <f>+G78</f>
        <v>2</v>
      </c>
      <c r="I78" s="27">
        <f t="shared" ref="I78:J78" si="46">+H78</f>
        <v>2</v>
      </c>
      <c r="J78" s="27">
        <f t="shared" si="46"/>
        <v>2</v>
      </c>
      <c r="K78" s="27">
        <f t="shared" ref="K78" si="47">+J78</f>
        <v>2</v>
      </c>
      <c r="L78" s="27">
        <f t="shared" ref="L78" si="48">+K78</f>
        <v>2</v>
      </c>
      <c r="M78" s="27">
        <f t="shared" ref="M78" si="49">+L78</f>
        <v>2</v>
      </c>
      <c r="N78" s="27">
        <f t="shared" ref="N78" si="50">+M78</f>
        <v>2</v>
      </c>
      <c r="O78" s="27">
        <f t="shared" ref="O78" si="51">+N78</f>
        <v>2</v>
      </c>
      <c r="P78" s="27">
        <f t="shared" ref="P78" si="52">+O78</f>
        <v>2</v>
      </c>
      <c r="Q78" s="27">
        <f t="shared" ref="Q78" si="53">+P78</f>
        <v>2</v>
      </c>
      <c r="R78" s="27">
        <f t="shared" ref="R78" si="54">+Q78</f>
        <v>2</v>
      </c>
      <c r="S78" s="27">
        <f t="shared" ref="S78" si="55">+R78</f>
        <v>2</v>
      </c>
      <c r="T78" s="27">
        <f t="shared" ref="T78" si="56">+S78</f>
        <v>2</v>
      </c>
      <c r="U78" s="27">
        <f t="shared" ref="U78" si="57">+T78</f>
        <v>2</v>
      </c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3">
        <f>+J78</f>
        <v>2</v>
      </c>
      <c r="BC78" s="33"/>
      <c r="BD78" s="30"/>
    </row>
    <row r="79" spans="2:59">
      <c r="B79" s="14"/>
      <c r="C79" s="34"/>
      <c r="D79" s="30"/>
      <c r="E79" s="14" t="s">
        <v>91</v>
      </c>
      <c r="F79" s="15"/>
      <c r="G79" s="41">
        <v>0.6</v>
      </c>
      <c r="H79" s="41">
        <v>0.6</v>
      </c>
      <c r="I79" s="41">
        <v>0.6</v>
      </c>
      <c r="J79" s="41">
        <v>0.6</v>
      </c>
      <c r="K79" s="41">
        <v>0.6</v>
      </c>
      <c r="L79" s="41">
        <v>0.6</v>
      </c>
      <c r="M79" s="41">
        <v>0.6</v>
      </c>
      <c r="N79" s="41">
        <v>0.6</v>
      </c>
      <c r="O79" s="41">
        <v>0.6</v>
      </c>
      <c r="P79" s="41">
        <v>0.6</v>
      </c>
      <c r="Q79" s="41">
        <v>0.6</v>
      </c>
      <c r="R79" s="41">
        <v>0.6</v>
      </c>
      <c r="S79" s="41">
        <v>0.6</v>
      </c>
      <c r="T79" s="41">
        <v>0.6</v>
      </c>
      <c r="U79" s="41">
        <v>0.6</v>
      </c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3">
        <f>+J79</f>
        <v>0.6</v>
      </c>
      <c r="BC79" s="33"/>
      <c r="BD79" s="30"/>
    </row>
    <row r="80" spans="2:59">
      <c r="B80" s="14"/>
      <c r="C80" s="34"/>
      <c r="D80" s="30"/>
      <c r="E80" s="14" t="s">
        <v>92</v>
      </c>
      <c r="F80" s="15"/>
      <c r="G80" s="41">
        <v>0.4</v>
      </c>
      <c r="H80" s="41">
        <v>0.4</v>
      </c>
      <c r="I80" s="41">
        <v>0.4</v>
      </c>
      <c r="J80" s="41">
        <v>0.4</v>
      </c>
      <c r="K80" s="41">
        <v>0.4</v>
      </c>
      <c r="L80" s="41">
        <v>0.4</v>
      </c>
      <c r="M80" s="41">
        <v>0.4</v>
      </c>
      <c r="N80" s="41">
        <v>0.4</v>
      </c>
      <c r="O80" s="41">
        <v>0.4</v>
      </c>
      <c r="P80" s="41">
        <v>0.4</v>
      </c>
      <c r="Q80" s="41">
        <v>0.4</v>
      </c>
      <c r="R80" s="41">
        <v>0.4</v>
      </c>
      <c r="S80" s="41">
        <v>0.4</v>
      </c>
      <c r="T80" s="41">
        <v>0.4</v>
      </c>
      <c r="U80" s="41">
        <v>0.4</v>
      </c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3">
        <f>+J80</f>
        <v>0.4</v>
      </c>
      <c r="BC80" s="33"/>
      <c r="BD80" s="30"/>
    </row>
    <row r="81" spans="2:63">
      <c r="B81" s="14"/>
      <c r="C81" s="34"/>
      <c r="D81" s="30"/>
      <c r="E81" s="19" t="s">
        <v>93</v>
      </c>
      <c r="F81" s="20" t="s">
        <v>50</v>
      </c>
      <c r="G81" s="160">
        <f>+G78*(G79*G35+G36*G80)</f>
        <v>2.0720800000000001</v>
      </c>
      <c r="H81" s="160">
        <f t="shared" ref="H81:J81" si="58">+H78*(H79*H35+H36*H80)</f>
        <v>2.1052332800000002</v>
      </c>
      <c r="I81" s="160">
        <f t="shared" si="58"/>
        <v>2.1389667424000001</v>
      </c>
      <c r="J81" s="160">
        <f t="shared" si="58"/>
        <v>2.173291162016</v>
      </c>
      <c r="K81" s="160">
        <f t="shared" ref="K81" si="59">+K78*(K79*K35+K36*K80)</f>
        <v>2.2082175208720001</v>
      </c>
      <c r="L81" s="160">
        <f t="shared" ref="L81" si="60">+L78*(L79*L35+L36*L80)</f>
        <v>2.2437570122612769</v>
      </c>
      <c r="M81" s="160">
        <f t="shared" ref="M81" si="61">+M78*(M79*M35+M36*M80)</f>
        <v>2.2799210448880576</v>
      </c>
      <c r="N81" s="160">
        <f t="shared" ref="N81" si="62">+N78*(N79*N35+N36*N80)</f>
        <v>2.3167212470911895</v>
      </c>
      <c r="O81" s="160">
        <f t="shared" ref="O81" si="63">+O78*(O79*O35+O36*O80)</f>
        <v>2.3541694711514376</v>
      </c>
      <c r="P81" s="160">
        <f t="shared" ref="P81" si="64">+P78*(P79*P35+P36*P80)</f>
        <v>2.3922777976840752</v>
      </c>
      <c r="Q81" s="160">
        <f t="shared" ref="Q81" si="65">+Q78*(Q79*Q35+Q36*Q80)</f>
        <v>2.4310585401184612</v>
      </c>
      <c r="R81" s="160">
        <f t="shared" ref="R81" si="66">+R78*(R79*R35+R36*R80)</f>
        <v>2.4705242492663424</v>
      </c>
      <c r="S81" s="160">
        <f t="shared" ref="S81" si="67">+S78*(S79*S35+S36*S80)</f>
        <v>2.5106877179806362</v>
      </c>
      <c r="T81" s="160">
        <f t="shared" ref="T81" si="68">+T78*(T79*T35+T36*T80)</f>
        <v>2.5515619859065057</v>
      </c>
      <c r="U81" s="160">
        <f t="shared" ref="U81" si="69">+U78*(U79*U35+U36*U80)</f>
        <v>2.593160344326555</v>
      </c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4">
        <v>0.2472</v>
      </c>
      <c r="BC81" s="33"/>
      <c r="BD81" s="30"/>
    </row>
    <row r="82" spans="2:63">
      <c r="B82" s="14"/>
      <c r="C82" s="34"/>
      <c r="D82" s="30"/>
      <c r="E82" s="52" t="s">
        <v>39</v>
      </c>
      <c r="F82" s="20" t="s">
        <v>40</v>
      </c>
      <c r="G82" s="140">
        <v>0.377</v>
      </c>
      <c r="H82" s="21">
        <f t="shared" ref="H82:J83" si="70">+G82</f>
        <v>0.377</v>
      </c>
      <c r="I82" s="21">
        <f t="shared" si="70"/>
        <v>0.377</v>
      </c>
      <c r="J82" s="21">
        <f t="shared" si="70"/>
        <v>0.377</v>
      </c>
      <c r="K82" s="21">
        <f t="shared" ref="K82:U82" si="71">+J82</f>
        <v>0.377</v>
      </c>
      <c r="L82" s="21">
        <f t="shared" si="71"/>
        <v>0.377</v>
      </c>
      <c r="M82" s="21">
        <f t="shared" si="71"/>
        <v>0.377</v>
      </c>
      <c r="N82" s="21">
        <f t="shared" si="71"/>
        <v>0.377</v>
      </c>
      <c r="O82" s="21">
        <f t="shared" si="71"/>
        <v>0.377</v>
      </c>
      <c r="P82" s="21">
        <f t="shared" si="71"/>
        <v>0.377</v>
      </c>
      <c r="Q82" s="21">
        <f t="shared" si="71"/>
        <v>0.377</v>
      </c>
      <c r="R82" s="21">
        <f t="shared" si="71"/>
        <v>0.377</v>
      </c>
      <c r="S82" s="21">
        <f t="shared" si="71"/>
        <v>0.377</v>
      </c>
      <c r="T82" s="21">
        <f t="shared" si="71"/>
        <v>0.377</v>
      </c>
      <c r="U82" s="21">
        <f t="shared" si="71"/>
        <v>0.377</v>
      </c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2">
        <f>+J82</f>
        <v>0.377</v>
      </c>
      <c r="BC82" s="33"/>
      <c r="BD82" s="30"/>
    </row>
    <row r="83" spans="2:63">
      <c r="B83" s="14"/>
      <c r="C83" s="34"/>
      <c r="D83" s="30"/>
      <c r="E83" s="56" t="s">
        <v>43</v>
      </c>
      <c r="F83" s="7" t="s">
        <v>12</v>
      </c>
      <c r="G83" s="104">
        <v>0</v>
      </c>
      <c r="H83" s="57">
        <f t="shared" si="70"/>
        <v>0</v>
      </c>
      <c r="I83" s="57">
        <f t="shared" si="70"/>
        <v>0</v>
      </c>
      <c r="J83" s="57">
        <f t="shared" si="70"/>
        <v>0</v>
      </c>
      <c r="K83" s="57">
        <f t="shared" ref="K83:U83" si="72">+J83</f>
        <v>0</v>
      </c>
      <c r="L83" s="57">
        <f t="shared" si="72"/>
        <v>0</v>
      </c>
      <c r="M83" s="57">
        <f t="shared" si="72"/>
        <v>0</v>
      </c>
      <c r="N83" s="57">
        <f t="shared" si="72"/>
        <v>0</v>
      </c>
      <c r="O83" s="57">
        <f t="shared" si="72"/>
        <v>0</v>
      </c>
      <c r="P83" s="57">
        <f t="shared" si="72"/>
        <v>0</v>
      </c>
      <c r="Q83" s="57">
        <f t="shared" si="72"/>
        <v>0</v>
      </c>
      <c r="R83" s="57">
        <f t="shared" si="72"/>
        <v>0</v>
      </c>
      <c r="S83" s="57">
        <f t="shared" si="72"/>
        <v>0</v>
      </c>
      <c r="T83" s="57">
        <f t="shared" si="72"/>
        <v>0</v>
      </c>
      <c r="U83" s="57">
        <f t="shared" si="72"/>
        <v>0</v>
      </c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8">
        <f>+J83</f>
        <v>0</v>
      </c>
      <c r="BC83" s="33"/>
      <c r="BD83" s="30"/>
    </row>
    <row r="84" spans="2:63">
      <c r="B84" s="14"/>
      <c r="C84" s="34"/>
      <c r="D84" s="30"/>
      <c r="E84" s="45" t="s">
        <v>83</v>
      </c>
      <c r="F84" s="11" t="s">
        <v>95</v>
      </c>
      <c r="G84" s="176">
        <v>8.5500000000000007</v>
      </c>
      <c r="H84" s="177">
        <v>7.2</v>
      </c>
      <c r="I84" s="178">
        <f>+H84</f>
        <v>7.2</v>
      </c>
      <c r="J84" s="178">
        <f t="shared" ref="J84" si="73">+I84</f>
        <v>7.2</v>
      </c>
      <c r="K84" s="178">
        <f t="shared" ref="K84:U84" si="74">+J84</f>
        <v>7.2</v>
      </c>
      <c r="L84" s="178">
        <f t="shared" si="74"/>
        <v>7.2</v>
      </c>
      <c r="M84" s="178">
        <f t="shared" si="74"/>
        <v>7.2</v>
      </c>
      <c r="N84" s="178">
        <f t="shared" si="74"/>
        <v>7.2</v>
      </c>
      <c r="O84" s="178">
        <f t="shared" si="74"/>
        <v>7.2</v>
      </c>
      <c r="P84" s="178">
        <f t="shared" si="74"/>
        <v>7.2</v>
      </c>
      <c r="Q84" s="178">
        <f t="shared" si="74"/>
        <v>7.2</v>
      </c>
      <c r="R84" s="178">
        <f t="shared" si="74"/>
        <v>7.2</v>
      </c>
      <c r="S84" s="178">
        <f t="shared" si="74"/>
        <v>7.2</v>
      </c>
      <c r="T84" s="178">
        <f t="shared" si="74"/>
        <v>7.2</v>
      </c>
      <c r="U84" s="178">
        <f t="shared" si="74"/>
        <v>7.2</v>
      </c>
      <c r="V84" s="164"/>
      <c r="W84" s="164"/>
      <c r="X84" s="174"/>
      <c r="Y84" s="174"/>
      <c r="Z84" s="174"/>
      <c r="AA84" s="174"/>
      <c r="AB84" s="174"/>
      <c r="AC84" s="174"/>
      <c r="AD84" s="174"/>
      <c r="AE84" s="174"/>
      <c r="AF84" s="17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33"/>
      <c r="BD84" s="30"/>
    </row>
    <row r="85" spans="2:63">
      <c r="B85" s="14"/>
      <c r="C85" s="34"/>
      <c r="D85" s="30"/>
      <c r="E85" s="52" t="s">
        <v>94</v>
      </c>
      <c r="F85" s="20"/>
      <c r="G85" s="179">
        <f>+G84</f>
        <v>8.5500000000000007</v>
      </c>
      <c r="H85" s="179">
        <f>+H84*$F$35</f>
        <v>7.3440000000000003</v>
      </c>
      <c r="I85" s="180">
        <f>+H85*$F$35</f>
        <v>7.4908800000000006</v>
      </c>
      <c r="J85" s="180">
        <f t="shared" ref="J85" si="75">+I85*$F$35</f>
        <v>7.6406976000000011</v>
      </c>
      <c r="K85" s="180">
        <f t="shared" ref="K85:U85" si="76">+J85*$F$35</f>
        <v>7.7935115520000009</v>
      </c>
      <c r="L85" s="180">
        <f t="shared" si="76"/>
        <v>7.9493817830400006</v>
      </c>
      <c r="M85" s="180">
        <f t="shared" si="76"/>
        <v>8.1083694187008</v>
      </c>
      <c r="N85" s="180">
        <f t="shared" si="76"/>
        <v>8.2705368070748158</v>
      </c>
      <c r="O85" s="180">
        <f t="shared" si="76"/>
        <v>8.4359475432163116</v>
      </c>
      <c r="P85" s="180">
        <f t="shared" si="76"/>
        <v>8.6046664940806377</v>
      </c>
      <c r="Q85" s="180">
        <f t="shared" si="76"/>
        <v>8.7767598239622497</v>
      </c>
      <c r="R85" s="180">
        <f t="shared" si="76"/>
        <v>8.9522950204414951</v>
      </c>
      <c r="S85" s="180">
        <f t="shared" si="76"/>
        <v>9.1313409208503256</v>
      </c>
      <c r="T85" s="180">
        <f t="shared" si="76"/>
        <v>9.3139677392673317</v>
      </c>
      <c r="U85" s="180">
        <f t="shared" si="76"/>
        <v>9.5002470940526784</v>
      </c>
      <c r="V85" s="164"/>
      <c r="W85" s="164"/>
      <c r="X85" s="174"/>
      <c r="Y85" s="174"/>
      <c r="Z85" s="174"/>
      <c r="AA85" s="174"/>
      <c r="AB85" s="174"/>
      <c r="AC85" s="174"/>
      <c r="AD85" s="174"/>
      <c r="AE85" s="174"/>
      <c r="AF85" s="17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33"/>
      <c r="BD85" s="30"/>
    </row>
    <row r="86" spans="2:63">
      <c r="B86" s="14"/>
      <c r="C86" s="34"/>
      <c r="D86" s="30"/>
      <c r="E86" s="10" t="s">
        <v>117</v>
      </c>
      <c r="F86" s="11" t="s">
        <v>107</v>
      </c>
      <c r="G86" s="211">
        <v>3.5373600000000001</v>
      </c>
      <c r="H86" s="212">
        <f>+G86</f>
        <v>3.5373600000000001</v>
      </c>
      <c r="I86" s="212">
        <f t="shared" ref="I86:U86" si="77">+H86</f>
        <v>3.5373600000000001</v>
      </c>
      <c r="J86" s="212">
        <f t="shared" si="77"/>
        <v>3.5373600000000001</v>
      </c>
      <c r="K86" s="212">
        <f t="shared" si="77"/>
        <v>3.5373600000000001</v>
      </c>
      <c r="L86" s="212">
        <f t="shared" si="77"/>
        <v>3.5373600000000001</v>
      </c>
      <c r="M86" s="212">
        <f t="shared" si="77"/>
        <v>3.5373600000000001</v>
      </c>
      <c r="N86" s="212">
        <f t="shared" si="77"/>
        <v>3.5373600000000001</v>
      </c>
      <c r="O86" s="212">
        <f t="shared" si="77"/>
        <v>3.5373600000000001</v>
      </c>
      <c r="P86" s="212">
        <f t="shared" si="77"/>
        <v>3.5373600000000001</v>
      </c>
      <c r="Q86" s="212">
        <f t="shared" si="77"/>
        <v>3.5373600000000001</v>
      </c>
      <c r="R86" s="212">
        <f t="shared" si="77"/>
        <v>3.5373600000000001</v>
      </c>
      <c r="S86" s="212">
        <f t="shared" si="77"/>
        <v>3.5373600000000001</v>
      </c>
      <c r="T86" s="212">
        <f t="shared" si="77"/>
        <v>3.5373600000000001</v>
      </c>
      <c r="U86" s="212">
        <f t="shared" si="77"/>
        <v>3.5373600000000001</v>
      </c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33"/>
      <c r="BD86" s="30"/>
    </row>
    <row r="87" spans="2:63">
      <c r="B87" s="14"/>
      <c r="C87" s="34"/>
      <c r="D87" s="30"/>
      <c r="E87" s="14" t="s">
        <v>91</v>
      </c>
      <c r="F87" s="15"/>
      <c r="G87" s="41">
        <v>0.6</v>
      </c>
      <c r="H87" s="41">
        <v>0.6</v>
      </c>
      <c r="I87" s="41">
        <v>0.6</v>
      </c>
      <c r="J87" s="41">
        <v>0.6</v>
      </c>
      <c r="K87" s="41">
        <v>0.6</v>
      </c>
      <c r="L87" s="41">
        <v>0.6</v>
      </c>
      <c r="M87" s="41">
        <v>0.6</v>
      </c>
      <c r="N87" s="41">
        <v>0.6</v>
      </c>
      <c r="O87" s="41">
        <v>0.6</v>
      </c>
      <c r="P87" s="41">
        <v>0.6</v>
      </c>
      <c r="Q87" s="41">
        <v>0.6</v>
      </c>
      <c r="R87" s="41">
        <v>0.6</v>
      </c>
      <c r="S87" s="41">
        <v>0.6</v>
      </c>
      <c r="T87" s="41">
        <v>0.6</v>
      </c>
      <c r="U87" s="41">
        <v>0.6</v>
      </c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33"/>
      <c r="BD87" s="30"/>
    </row>
    <row r="88" spans="2:63">
      <c r="B88" s="14"/>
      <c r="C88" s="34"/>
      <c r="D88" s="30"/>
      <c r="E88" s="14" t="s">
        <v>92</v>
      </c>
      <c r="F88" s="15"/>
      <c r="G88" s="41">
        <v>0.4</v>
      </c>
      <c r="H88" s="41">
        <v>0.4</v>
      </c>
      <c r="I88" s="41">
        <v>0.4</v>
      </c>
      <c r="J88" s="41">
        <v>0.4</v>
      </c>
      <c r="K88" s="41">
        <v>0.4</v>
      </c>
      <c r="L88" s="41">
        <v>0.4</v>
      </c>
      <c r="M88" s="41">
        <v>0.4</v>
      </c>
      <c r="N88" s="41">
        <v>0.4</v>
      </c>
      <c r="O88" s="41">
        <v>0.4</v>
      </c>
      <c r="P88" s="41">
        <v>0.4</v>
      </c>
      <c r="Q88" s="41">
        <v>0.4</v>
      </c>
      <c r="R88" s="41">
        <v>0.4</v>
      </c>
      <c r="S88" s="41">
        <v>0.4</v>
      </c>
      <c r="T88" s="41">
        <v>0.4</v>
      </c>
      <c r="U88" s="41">
        <v>0.4</v>
      </c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33"/>
      <c r="BD88" s="30"/>
    </row>
    <row r="89" spans="2:63">
      <c r="B89" s="14"/>
      <c r="C89" s="34"/>
      <c r="D89" s="30"/>
      <c r="E89" s="19" t="s">
        <v>118</v>
      </c>
      <c r="F89" s="20" t="s">
        <v>107</v>
      </c>
      <c r="G89" s="160">
        <f>+G86*(G87*F$35+$F$36*G88)</f>
        <v>3.5939577599999999</v>
      </c>
      <c r="H89" s="160">
        <f t="shared" ref="H89:U89" si="78">+H86*(H87*G$35+$F$36*H88)</f>
        <v>3.6280013126400004</v>
      </c>
      <c r="I89" s="160">
        <f t="shared" si="78"/>
        <v>3.6719794700928001</v>
      </c>
      <c r="J89" s="160">
        <f t="shared" si="78"/>
        <v>3.7168371906946565</v>
      </c>
      <c r="K89" s="160">
        <f t="shared" si="78"/>
        <v>3.7625920657085494</v>
      </c>
      <c r="L89" s="160">
        <f t="shared" si="78"/>
        <v>3.8092620382227209</v>
      </c>
      <c r="M89" s="160">
        <f t="shared" si="78"/>
        <v>3.8568654101871749</v>
      </c>
      <c r="N89" s="160">
        <f t="shared" si="78"/>
        <v>3.9054208495909188</v>
      </c>
      <c r="O89" s="160">
        <f t="shared" si="78"/>
        <v>3.9549473977827367</v>
      </c>
      <c r="P89" s="160">
        <f t="shared" si="78"/>
        <v>4.0054644769383918</v>
      </c>
      <c r="Q89" s="160">
        <f t="shared" si="78"/>
        <v>4.0569918976771593</v>
      </c>
      <c r="R89" s="160">
        <f t="shared" si="78"/>
        <v>4.1095498668307027</v>
      </c>
      <c r="S89" s="160">
        <f t="shared" si="78"/>
        <v>4.1631589953673167</v>
      </c>
      <c r="T89" s="160">
        <f t="shared" si="78"/>
        <v>4.2178403064746632</v>
      </c>
      <c r="U89" s="160">
        <f t="shared" si="78"/>
        <v>4.2736152438041568</v>
      </c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3"/>
      <c r="BD89" s="30"/>
    </row>
    <row r="90" spans="2:63">
      <c r="B90" s="14"/>
      <c r="C90" s="34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3"/>
      <c r="BD90" s="30"/>
    </row>
    <row r="91" spans="2:63">
      <c r="B91" s="14"/>
      <c r="C91" s="34"/>
      <c r="D91" s="30" t="s">
        <v>74</v>
      </c>
      <c r="E91" s="30"/>
      <c r="F91" s="7" t="s">
        <v>6</v>
      </c>
      <c r="G91" s="109">
        <v>2010</v>
      </c>
      <c r="H91" s="109">
        <v>2011</v>
      </c>
      <c r="I91" s="109">
        <v>2012</v>
      </c>
      <c r="J91" s="8">
        <v>2013</v>
      </c>
      <c r="K91" s="8">
        <v>2014</v>
      </c>
      <c r="L91" s="8">
        <v>2015</v>
      </c>
      <c r="M91" s="8">
        <v>2016</v>
      </c>
      <c r="N91" s="8">
        <v>2017</v>
      </c>
      <c r="O91" s="8">
        <v>2018</v>
      </c>
      <c r="P91" s="8">
        <v>2019</v>
      </c>
      <c r="Q91" s="8">
        <v>2020</v>
      </c>
      <c r="R91" s="8">
        <v>2021</v>
      </c>
      <c r="S91" s="8">
        <v>2022</v>
      </c>
      <c r="T91" s="8">
        <v>2023</v>
      </c>
      <c r="U91" s="8">
        <v>2024</v>
      </c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9">
        <v>2014</v>
      </c>
      <c r="BC91" s="33"/>
      <c r="BD91" s="30"/>
    </row>
    <row r="92" spans="2:63">
      <c r="B92" s="14"/>
      <c r="C92" s="34"/>
      <c r="D92" s="30"/>
      <c r="E92" s="59" t="s">
        <v>45</v>
      </c>
      <c r="F92" s="11"/>
      <c r="G92" s="12">
        <f>+G43</f>
        <v>160</v>
      </c>
      <c r="H92" s="12">
        <f t="shared" ref="H92:J92" si="79">+H43</f>
        <v>160</v>
      </c>
      <c r="I92" s="12">
        <f t="shared" si="79"/>
        <v>160</v>
      </c>
      <c r="J92" s="12">
        <f t="shared" si="79"/>
        <v>160</v>
      </c>
      <c r="K92" s="12">
        <f t="shared" ref="K92:U92" si="80">+K43</f>
        <v>160</v>
      </c>
      <c r="L92" s="12">
        <f t="shared" si="80"/>
        <v>160</v>
      </c>
      <c r="M92" s="12">
        <f t="shared" si="80"/>
        <v>160</v>
      </c>
      <c r="N92" s="12">
        <f t="shared" si="80"/>
        <v>160</v>
      </c>
      <c r="O92" s="12">
        <f t="shared" si="80"/>
        <v>160</v>
      </c>
      <c r="P92" s="12">
        <f t="shared" si="80"/>
        <v>160</v>
      </c>
      <c r="Q92" s="12">
        <f t="shared" si="80"/>
        <v>160</v>
      </c>
      <c r="R92" s="12">
        <f t="shared" si="80"/>
        <v>160</v>
      </c>
      <c r="S92" s="12">
        <f t="shared" si="80"/>
        <v>160</v>
      </c>
      <c r="T92" s="12">
        <f t="shared" si="80"/>
        <v>160</v>
      </c>
      <c r="U92" s="12">
        <f t="shared" si="80"/>
        <v>160</v>
      </c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9">
        <f>+J92</f>
        <v>160</v>
      </c>
      <c r="BC92" s="33"/>
      <c r="BD92" s="30"/>
    </row>
    <row r="93" spans="2:63">
      <c r="B93" s="14"/>
      <c r="C93" s="34"/>
      <c r="D93" s="30"/>
      <c r="E93" s="60" t="s">
        <v>46</v>
      </c>
      <c r="F93" s="20" t="s">
        <v>47</v>
      </c>
      <c r="G93" s="21">
        <f>+G44</f>
        <v>720.8</v>
      </c>
      <c r="H93" s="21">
        <f t="shared" ref="H93:J93" si="81">+H44</f>
        <v>677.12</v>
      </c>
      <c r="I93" s="21">
        <f t="shared" si="81"/>
        <v>661.6</v>
      </c>
      <c r="J93" s="21">
        <f t="shared" si="81"/>
        <v>512</v>
      </c>
      <c r="K93" s="21">
        <f t="shared" ref="K93:U93" si="82">+K44</f>
        <v>512</v>
      </c>
      <c r="L93" s="21">
        <f t="shared" si="82"/>
        <v>512</v>
      </c>
      <c r="M93" s="21">
        <f t="shared" si="82"/>
        <v>512</v>
      </c>
      <c r="N93" s="21">
        <f t="shared" si="82"/>
        <v>512</v>
      </c>
      <c r="O93" s="21">
        <f t="shared" si="82"/>
        <v>512</v>
      </c>
      <c r="P93" s="21">
        <f t="shared" si="82"/>
        <v>512</v>
      </c>
      <c r="Q93" s="21">
        <f t="shared" si="82"/>
        <v>512</v>
      </c>
      <c r="R93" s="21">
        <f t="shared" si="82"/>
        <v>512</v>
      </c>
      <c r="S93" s="21">
        <f t="shared" si="82"/>
        <v>512</v>
      </c>
      <c r="T93" s="21">
        <f t="shared" si="82"/>
        <v>512</v>
      </c>
      <c r="U93" s="21">
        <f t="shared" si="82"/>
        <v>512</v>
      </c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2"/>
      <c r="BC93" s="33"/>
      <c r="BD93" s="30"/>
    </row>
    <row r="94" spans="2:63">
      <c r="B94" s="14"/>
      <c r="C94" s="34"/>
      <c r="D94" s="30"/>
      <c r="E94" s="30"/>
      <c r="F94" s="32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3"/>
      <c r="BD94" s="30"/>
      <c r="BG94" t="s">
        <v>75</v>
      </c>
    </row>
    <row r="95" spans="2:63">
      <c r="B95" s="14"/>
      <c r="C95" s="34"/>
      <c r="D95" s="30"/>
      <c r="E95" s="30"/>
      <c r="F95" s="7" t="s">
        <v>6</v>
      </c>
      <c r="G95" s="109">
        <v>2010</v>
      </c>
      <c r="H95" s="109">
        <v>2011</v>
      </c>
      <c r="I95" s="109">
        <v>2012</v>
      </c>
      <c r="J95" s="8">
        <v>2013</v>
      </c>
      <c r="K95" s="8">
        <v>2014</v>
      </c>
      <c r="L95" s="8">
        <v>2015</v>
      </c>
      <c r="M95" s="8">
        <v>2016</v>
      </c>
      <c r="N95" s="8">
        <v>2017</v>
      </c>
      <c r="O95" s="8">
        <v>2018</v>
      </c>
      <c r="P95" s="8">
        <v>2019</v>
      </c>
      <c r="Q95" s="8">
        <v>2020</v>
      </c>
      <c r="R95" s="8">
        <v>2021</v>
      </c>
      <c r="S95" s="8">
        <v>2022</v>
      </c>
      <c r="T95" s="8">
        <v>2023</v>
      </c>
      <c r="U95" s="8">
        <v>2024</v>
      </c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9">
        <v>2014</v>
      </c>
      <c r="BC95" s="33"/>
      <c r="BD95" s="33"/>
      <c r="BG95" s="90">
        <v>2010</v>
      </c>
      <c r="BH95" s="8">
        <v>2011</v>
      </c>
      <c r="BI95" s="8">
        <v>2012</v>
      </c>
      <c r="BJ95" s="8">
        <v>2013</v>
      </c>
      <c r="BK95" s="9">
        <v>2014</v>
      </c>
    </row>
    <row r="96" spans="2:63">
      <c r="B96" s="14"/>
      <c r="C96" s="34"/>
      <c r="D96" s="61" t="s">
        <v>76</v>
      </c>
      <c r="E96" s="27"/>
      <c r="F96" s="11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9"/>
      <c r="BC96" s="33"/>
      <c r="BD96" s="33"/>
      <c r="BE96" s="61" t="s">
        <v>77</v>
      </c>
      <c r="BF96" s="27"/>
      <c r="BG96" s="10"/>
      <c r="BH96" s="27"/>
      <c r="BI96" s="27"/>
      <c r="BJ96" s="27"/>
      <c r="BK96" s="29"/>
    </row>
    <row r="97" spans="2:63">
      <c r="B97" s="14"/>
      <c r="C97" s="34"/>
      <c r="D97" s="14"/>
      <c r="E97" s="30" t="s">
        <v>49</v>
      </c>
      <c r="F97" s="15" t="s">
        <v>50</v>
      </c>
      <c r="G97" s="62">
        <f>+G98</f>
        <v>29.08403219123506</v>
      </c>
      <c r="H97" s="62">
        <f t="shared" ref="H97:I97" si="83">+H98</f>
        <v>38.997663558884462</v>
      </c>
      <c r="I97" s="62">
        <f t="shared" si="83"/>
        <v>43.33418586590598</v>
      </c>
      <c r="J97" s="62">
        <f t="shared" ref="J97" si="84">+J98</f>
        <v>43.368510285521978</v>
      </c>
      <c r="K97" s="62">
        <f t="shared" ref="K97" si="85">+K98</f>
        <v>42.407420708122991</v>
      </c>
      <c r="L97" s="62">
        <f t="shared" ref="L97" si="86">+L98</f>
        <v>42.442960199512271</v>
      </c>
      <c r="M97" s="62">
        <f t="shared" ref="M97" si="87">+M98</f>
        <v>42.47912423213905</v>
      </c>
      <c r="N97" s="62">
        <f t="shared" ref="N97" si="88">+N98</f>
        <v>42.515924434342182</v>
      </c>
      <c r="O97" s="62">
        <f t="shared" ref="O97" si="89">+O98</f>
        <v>42.553372658402431</v>
      </c>
      <c r="P97" s="62">
        <f t="shared" ref="P97" si="90">+P98</f>
        <v>42.591480984935068</v>
      </c>
      <c r="Q97" s="62">
        <f t="shared" ref="Q97" si="91">+Q98</f>
        <v>42.630261727369458</v>
      </c>
      <c r="R97" s="62">
        <f t="shared" ref="R97" si="92">+R98</f>
        <v>42.669727436517334</v>
      </c>
      <c r="S97" s="62">
        <f t="shared" ref="S97" si="93">+S98</f>
        <v>42.709890905231632</v>
      </c>
      <c r="T97" s="62">
        <f t="shared" ref="T97" si="94">+T98</f>
        <v>42.750765173157497</v>
      </c>
      <c r="U97" s="62">
        <f t="shared" ref="U97" si="95">+U98</f>
        <v>42.79236353157755</v>
      </c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3"/>
      <c r="BC97" s="33"/>
      <c r="BD97" s="33"/>
      <c r="BE97" s="14"/>
      <c r="BF97" s="30" t="s">
        <v>49</v>
      </c>
      <c r="BG97" s="93">
        <f>+G48-G97</f>
        <v>-0.14695126020332694</v>
      </c>
      <c r="BH97" s="62">
        <f>+H48-H97</f>
        <v>0.4615255678451291</v>
      </c>
      <c r="BI97" s="62">
        <f>+I48-I97</f>
        <v>-0.30382837070798985</v>
      </c>
      <c r="BJ97" s="30">
        <f>+J48-J97</f>
        <v>-0.29095727478419064</v>
      </c>
      <c r="BK97" s="33">
        <f>+BB48-BB97</f>
        <v>0</v>
      </c>
    </row>
    <row r="98" spans="2:63">
      <c r="B98" s="63"/>
      <c r="C98" s="64"/>
      <c r="D98" s="63"/>
      <c r="E98" s="65" t="s">
        <v>51</v>
      </c>
      <c r="F98" s="40" t="s">
        <v>50</v>
      </c>
      <c r="G98" s="66">
        <f>1/G74*(G76+G77)+G81</f>
        <v>29.08403219123506</v>
      </c>
      <c r="H98" s="66">
        <f>1/H74*(H76+H77)+H81</f>
        <v>38.997663558884462</v>
      </c>
      <c r="I98" s="66">
        <f>1/I74*(I76+I77)+I81</f>
        <v>43.33418586590598</v>
      </c>
      <c r="J98" s="66">
        <f t="shared" ref="J98:U98" si="96">1/J74*(J76+J77)+J81</f>
        <v>43.368510285521978</v>
      </c>
      <c r="K98" s="66">
        <f t="shared" si="96"/>
        <v>42.407420708122991</v>
      </c>
      <c r="L98" s="66">
        <f t="shared" si="96"/>
        <v>42.442960199512271</v>
      </c>
      <c r="M98" s="66">
        <f t="shared" si="96"/>
        <v>42.47912423213905</v>
      </c>
      <c r="N98" s="66">
        <f t="shared" si="96"/>
        <v>42.515924434342182</v>
      </c>
      <c r="O98" s="66">
        <f t="shared" si="96"/>
        <v>42.553372658402431</v>
      </c>
      <c r="P98" s="66">
        <f t="shared" si="96"/>
        <v>42.591480984935068</v>
      </c>
      <c r="Q98" s="66">
        <f t="shared" si="96"/>
        <v>42.630261727369458</v>
      </c>
      <c r="R98" s="66">
        <f t="shared" si="96"/>
        <v>42.669727436517334</v>
      </c>
      <c r="S98" s="66">
        <f t="shared" si="96"/>
        <v>42.709890905231632</v>
      </c>
      <c r="T98" s="66">
        <f t="shared" si="96"/>
        <v>42.750765173157497</v>
      </c>
      <c r="U98" s="66">
        <f t="shared" si="96"/>
        <v>42.79236353157755</v>
      </c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8"/>
      <c r="BC98" s="68"/>
      <c r="BD98" s="68"/>
      <c r="BE98" s="63"/>
      <c r="BF98" s="65" t="s">
        <v>51</v>
      </c>
      <c r="BG98" s="94"/>
      <c r="BH98" s="66"/>
      <c r="BI98" s="66"/>
      <c r="BJ98" s="67"/>
      <c r="BK98" s="68"/>
    </row>
    <row r="99" spans="2:63">
      <c r="B99" s="63"/>
      <c r="C99" s="64"/>
      <c r="D99" s="63"/>
      <c r="E99" s="65" t="s">
        <v>52</v>
      </c>
      <c r="F99" s="40" t="s">
        <v>50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8"/>
      <c r="BC99" s="68"/>
      <c r="BD99" s="68"/>
      <c r="BE99" s="63"/>
      <c r="BF99" s="65" t="s">
        <v>52</v>
      </c>
      <c r="BG99" s="94"/>
      <c r="BH99" s="66"/>
      <c r="BI99" s="66"/>
      <c r="BJ99" s="67"/>
      <c r="BK99" s="68"/>
    </row>
    <row r="100" spans="2:63">
      <c r="B100" s="70"/>
      <c r="C100" s="31"/>
      <c r="D100" s="71"/>
      <c r="E100" s="72" t="s">
        <v>53</v>
      </c>
      <c r="F100" s="73" t="s">
        <v>54</v>
      </c>
      <c r="G100" s="74">
        <f>+G93*G97</f>
        <v>20963.770403442231</v>
      </c>
      <c r="H100" s="74">
        <f>+H93*H97</f>
        <v>26406.097948991846</v>
      </c>
      <c r="I100" s="74">
        <f>+I93*I97</f>
        <v>28669.897368883398</v>
      </c>
      <c r="J100" s="74">
        <f t="shared" ref="J100:U100" si="97">+J93*J97</f>
        <v>22204.677266187253</v>
      </c>
      <c r="K100" s="74">
        <f t="shared" si="97"/>
        <v>21712.599402558972</v>
      </c>
      <c r="L100" s="74">
        <f t="shared" si="97"/>
        <v>21730.795622150283</v>
      </c>
      <c r="M100" s="74">
        <f t="shared" si="97"/>
        <v>21749.311606855194</v>
      </c>
      <c r="N100" s="74">
        <f t="shared" si="97"/>
        <v>21768.153310383197</v>
      </c>
      <c r="O100" s="74">
        <f t="shared" si="97"/>
        <v>21787.326801102045</v>
      </c>
      <c r="P100" s="74">
        <f t="shared" si="97"/>
        <v>21806.838264286755</v>
      </c>
      <c r="Q100" s="74">
        <f t="shared" si="97"/>
        <v>21826.694004413162</v>
      </c>
      <c r="R100" s="74">
        <f t="shared" si="97"/>
        <v>21846.900447496875</v>
      </c>
      <c r="S100" s="74">
        <f t="shared" si="97"/>
        <v>21867.464143478595</v>
      </c>
      <c r="T100" s="74">
        <f t="shared" si="97"/>
        <v>21888.391768656638</v>
      </c>
      <c r="U100" s="74">
        <f t="shared" si="97"/>
        <v>21909.690128167706</v>
      </c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5"/>
      <c r="BC100" s="76"/>
      <c r="BD100" s="76"/>
      <c r="BE100" s="71"/>
      <c r="BF100" s="72" t="s">
        <v>53</v>
      </c>
      <c r="BG100" s="95">
        <f>+G51-G100</f>
        <v>-105.92246835455808</v>
      </c>
      <c r="BH100" s="74">
        <f>+H51-H100</f>
        <v>312.50819249929555</v>
      </c>
      <c r="BI100" s="74">
        <f>+I51-I100</f>
        <v>-201.0128500604078</v>
      </c>
      <c r="BJ100" s="72">
        <f>+J51-J100</f>
        <v>-148.97012468950561</v>
      </c>
      <c r="BK100" s="75">
        <f>+BB51-BB100</f>
        <v>0</v>
      </c>
    </row>
    <row r="101" spans="2:63">
      <c r="B101" s="14"/>
      <c r="C101" s="34"/>
      <c r="D101" s="61" t="s">
        <v>55</v>
      </c>
      <c r="E101" s="27"/>
      <c r="F101" s="11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9"/>
      <c r="BC101" s="33"/>
      <c r="BD101" s="33"/>
      <c r="BE101" s="61" t="s">
        <v>55</v>
      </c>
      <c r="BF101" s="27"/>
      <c r="BG101" s="10"/>
      <c r="BH101" s="27"/>
      <c r="BI101" s="27"/>
      <c r="BJ101" s="27"/>
      <c r="BK101" s="29"/>
    </row>
    <row r="102" spans="2:63">
      <c r="B102" s="14"/>
      <c r="C102" s="34"/>
      <c r="D102" s="14"/>
      <c r="E102" s="30" t="s">
        <v>56</v>
      </c>
      <c r="F102" s="15" t="s">
        <v>54</v>
      </c>
      <c r="G102" s="164">
        <f>+G85</f>
        <v>8.5500000000000007</v>
      </c>
      <c r="H102" s="164">
        <f>+H85</f>
        <v>7.3440000000000003</v>
      </c>
      <c r="I102" s="164">
        <f t="shared" ref="I102" si="98">+I85</f>
        <v>7.4908800000000006</v>
      </c>
      <c r="J102" s="164">
        <f t="shared" ref="J102:U102" si="99">+J85</f>
        <v>7.6406976000000011</v>
      </c>
      <c r="K102" s="164">
        <f t="shared" si="99"/>
        <v>7.7935115520000009</v>
      </c>
      <c r="L102" s="164">
        <f t="shared" si="99"/>
        <v>7.9493817830400006</v>
      </c>
      <c r="M102" s="164">
        <f t="shared" si="99"/>
        <v>8.1083694187008</v>
      </c>
      <c r="N102" s="164">
        <f t="shared" si="99"/>
        <v>8.2705368070748158</v>
      </c>
      <c r="O102" s="164">
        <f t="shared" si="99"/>
        <v>8.4359475432163116</v>
      </c>
      <c r="P102" s="164">
        <f t="shared" si="99"/>
        <v>8.6046664940806377</v>
      </c>
      <c r="Q102" s="164">
        <f t="shared" si="99"/>
        <v>8.7767598239622497</v>
      </c>
      <c r="R102" s="164">
        <f t="shared" si="99"/>
        <v>8.9522950204414951</v>
      </c>
      <c r="S102" s="164">
        <f t="shared" si="99"/>
        <v>9.1313409208503256</v>
      </c>
      <c r="T102" s="164">
        <f t="shared" si="99"/>
        <v>9.3139677392673317</v>
      </c>
      <c r="U102" s="164">
        <f t="shared" si="99"/>
        <v>9.5002470940526784</v>
      </c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3"/>
      <c r="BC102" s="33"/>
      <c r="BD102" s="33"/>
      <c r="BE102" s="14"/>
      <c r="BF102" s="30" t="s">
        <v>56</v>
      </c>
      <c r="BG102" s="93">
        <f t="shared" ref="BG102:BJ103" si="100">+G53-G102</f>
        <v>-3.3255234038400001</v>
      </c>
      <c r="BH102" s="62">
        <f t="shared" si="100"/>
        <v>-1.0648137398399999</v>
      </c>
      <c r="BI102" s="62">
        <f t="shared" si="100"/>
        <v>-0.84840059519999933</v>
      </c>
      <c r="BJ102" s="30">
        <f t="shared" si="100"/>
        <v>-0.98201702592000029</v>
      </c>
      <c r="BK102" s="33">
        <f>+BB53-BB102</f>
        <v>0</v>
      </c>
    </row>
    <row r="103" spans="2:63">
      <c r="B103" s="70"/>
      <c r="C103" s="31"/>
      <c r="D103" s="71"/>
      <c r="E103" s="72" t="s">
        <v>57</v>
      </c>
      <c r="F103" s="73" t="s">
        <v>54</v>
      </c>
      <c r="G103" s="175">
        <f>+G102*G$12</f>
        <v>718.2</v>
      </c>
      <c r="H103" s="175">
        <f t="shared" ref="H103:I103" si="101">+H102*H$12</f>
        <v>1189.7280000000001</v>
      </c>
      <c r="I103" s="175">
        <f t="shared" si="101"/>
        <v>1325.8857600000001</v>
      </c>
      <c r="J103" s="175">
        <f t="shared" ref="J103" si="102">+J102*J$12</f>
        <v>1298.9185920000002</v>
      </c>
      <c r="K103" s="175">
        <f t="shared" ref="K103" si="103">+K102*K$12</f>
        <v>1324.8969638400001</v>
      </c>
      <c r="L103" s="175">
        <f t="shared" ref="L103" si="104">+L102*L$12</f>
        <v>1351.3949031168002</v>
      </c>
      <c r="M103" s="175">
        <f t="shared" ref="M103" si="105">+M102*M$12</f>
        <v>1378.4228011791361</v>
      </c>
      <c r="N103" s="175">
        <f t="shared" ref="N103" si="106">+N102*N$12</f>
        <v>1405.9912572027188</v>
      </c>
      <c r="O103" s="175">
        <f t="shared" ref="O103" si="107">+O102*O$12</f>
        <v>1434.1110823467729</v>
      </c>
      <c r="P103" s="175">
        <f t="shared" ref="P103" si="108">+P102*P$12</f>
        <v>1462.7933039937084</v>
      </c>
      <c r="Q103" s="175">
        <f t="shared" ref="Q103" si="109">+Q102*Q$12</f>
        <v>1492.0491700735824</v>
      </c>
      <c r="R103" s="175">
        <f t="shared" ref="R103" si="110">+R102*R$12</f>
        <v>1521.8901534750541</v>
      </c>
      <c r="S103" s="175">
        <f t="shared" ref="S103" si="111">+S102*S$12</f>
        <v>1552.3279565445553</v>
      </c>
      <c r="T103" s="175">
        <f t="shared" ref="T103" si="112">+T102*T$12</f>
        <v>1583.3745156754464</v>
      </c>
      <c r="U103" s="175">
        <f t="shared" ref="U103" si="113">+U102*U$12</f>
        <v>1615.0420059889552</v>
      </c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5"/>
      <c r="BC103" s="76"/>
      <c r="BD103" s="76"/>
      <c r="BE103" s="71"/>
      <c r="BF103" s="72" t="s">
        <v>57</v>
      </c>
      <c r="BG103" s="95">
        <f t="shared" si="100"/>
        <v>-279.34396592256002</v>
      </c>
      <c r="BH103" s="74">
        <f t="shared" si="100"/>
        <v>-172.49982585407997</v>
      </c>
      <c r="BI103" s="74">
        <f t="shared" si="100"/>
        <v>-150.16690535039993</v>
      </c>
      <c r="BJ103" s="72">
        <f t="shared" si="100"/>
        <v>-166.9428944064</v>
      </c>
      <c r="BK103" s="75">
        <f>+BB54-BB103</f>
        <v>0</v>
      </c>
    </row>
    <row r="104" spans="2:63">
      <c r="B104" s="14"/>
      <c r="C104" s="34"/>
      <c r="D104" s="61" t="s">
        <v>58</v>
      </c>
      <c r="E104" s="27"/>
      <c r="F104" s="11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9"/>
      <c r="BC104" s="33"/>
      <c r="BD104" s="33"/>
      <c r="BE104" s="61" t="s">
        <v>58</v>
      </c>
      <c r="BF104" s="27"/>
      <c r="BG104" s="10"/>
      <c r="BH104" s="27"/>
      <c r="BI104" s="27"/>
      <c r="BJ104" s="27"/>
      <c r="BK104" s="29"/>
    </row>
    <row r="105" spans="2:63">
      <c r="B105" s="14"/>
      <c r="C105" s="34"/>
      <c r="D105" s="14"/>
      <c r="E105" s="30" t="s">
        <v>59</v>
      </c>
      <c r="F105" s="15" t="s">
        <v>60</v>
      </c>
      <c r="G105" s="78">
        <f t="shared" ref="G105:U105" si="114">+G93*G82</f>
        <v>271.74160000000001</v>
      </c>
      <c r="H105" s="78">
        <f t="shared" si="114"/>
        <v>255.27423999999999</v>
      </c>
      <c r="I105" s="78">
        <f t="shared" si="114"/>
        <v>249.42320000000001</v>
      </c>
      <c r="J105" s="78">
        <f t="shared" si="114"/>
        <v>193.024</v>
      </c>
      <c r="K105" s="78">
        <f t="shared" si="114"/>
        <v>193.024</v>
      </c>
      <c r="L105" s="78">
        <f t="shared" si="114"/>
        <v>193.024</v>
      </c>
      <c r="M105" s="78">
        <f t="shared" si="114"/>
        <v>193.024</v>
      </c>
      <c r="N105" s="78">
        <f t="shared" si="114"/>
        <v>193.024</v>
      </c>
      <c r="O105" s="78">
        <f t="shared" si="114"/>
        <v>193.024</v>
      </c>
      <c r="P105" s="78">
        <f t="shared" si="114"/>
        <v>193.024</v>
      </c>
      <c r="Q105" s="78">
        <f t="shared" si="114"/>
        <v>193.024</v>
      </c>
      <c r="R105" s="78">
        <f t="shared" si="114"/>
        <v>193.024</v>
      </c>
      <c r="S105" s="78">
        <f t="shared" si="114"/>
        <v>193.024</v>
      </c>
      <c r="T105" s="78">
        <f t="shared" si="114"/>
        <v>193.024</v>
      </c>
      <c r="U105" s="78">
        <f t="shared" si="114"/>
        <v>193.024</v>
      </c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3"/>
      <c r="BC105" s="33"/>
      <c r="BD105" s="33"/>
      <c r="BE105" s="14"/>
      <c r="BF105" s="30" t="s">
        <v>59</v>
      </c>
      <c r="BG105" s="96">
        <f t="shared" ref="BG105:BJ106" si="115">+G56-G105</f>
        <v>-15.52156303999999</v>
      </c>
      <c r="BH105" s="78">
        <f t="shared" si="115"/>
        <v>-13.622029312000024</v>
      </c>
      <c r="BI105" s="78">
        <f t="shared" si="115"/>
        <v>-12.841325200000028</v>
      </c>
      <c r="BJ105" s="30">
        <f t="shared" si="115"/>
        <v>-9.7563904000000434</v>
      </c>
      <c r="BK105" s="33">
        <f>+BB56-BB105</f>
        <v>0</v>
      </c>
    </row>
    <row r="106" spans="2:63">
      <c r="B106" s="70"/>
      <c r="C106" s="31"/>
      <c r="D106" s="71"/>
      <c r="E106" s="72" t="s">
        <v>61</v>
      </c>
      <c r="F106" s="73" t="s">
        <v>54</v>
      </c>
      <c r="G106" s="74">
        <f>+G105*G$14</f>
        <v>3668.5116000000003</v>
      </c>
      <c r="H106" s="74">
        <f>+H105*H$14</f>
        <v>3573.8393599999999</v>
      </c>
      <c r="I106" s="74">
        <f>+I105*I$14</f>
        <v>3741.348</v>
      </c>
      <c r="J106" s="74">
        <f t="shared" ref="J106:U106" si="116">+J105*J$14</f>
        <v>2895.36</v>
      </c>
      <c r="K106" s="74">
        <f t="shared" si="116"/>
        <v>2895.36</v>
      </c>
      <c r="L106" s="74">
        <f t="shared" si="116"/>
        <v>2895.36</v>
      </c>
      <c r="M106" s="74">
        <f t="shared" si="116"/>
        <v>2895.36</v>
      </c>
      <c r="N106" s="74">
        <f t="shared" si="116"/>
        <v>2895.36</v>
      </c>
      <c r="O106" s="74">
        <f t="shared" si="116"/>
        <v>2895.36</v>
      </c>
      <c r="P106" s="74">
        <f t="shared" si="116"/>
        <v>2895.36</v>
      </c>
      <c r="Q106" s="74">
        <f t="shared" si="116"/>
        <v>2895.36</v>
      </c>
      <c r="R106" s="74">
        <f t="shared" si="116"/>
        <v>2895.36</v>
      </c>
      <c r="S106" s="74">
        <f t="shared" si="116"/>
        <v>2895.36</v>
      </c>
      <c r="T106" s="74">
        <f t="shared" si="116"/>
        <v>2895.36</v>
      </c>
      <c r="U106" s="74">
        <f t="shared" si="116"/>
        <v>2895.36</v>
      </c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5"/>
      <c r="BC106" s="76"/>
      <c r="BD106" s="76"/>
      <c r="BE106" s="71"/>
      <c r="BF106" s="72" t="s">
        <v>61</v>
      </c>
      <c r="BG106" s="95">
        <f t="shared" si="115"/>
        <v>-209.54110103999983</v>
      </c>
      <c r="BH106" s="74">
        <f t="shared" si="115"/>
        <v>-190.70841036800039</v>
      </c>
      <c r="BI106" s="74">
        <f t="shared" si="115"/>
        <v>-192.61987800000043</v>
      </c>
      <c r="BJ106" s="72">
        <f t="shared" si="115"/>
        <v>-146.34585600000082</v>
      </c>
      <c r="BK106" s="75">
        <f>+BB57-BB106</f>
        <v>0</v>
      </c>
    </row>
    <row r="107" spans="2:63">
      <c r="B107" s="70"/>
      <c r="C107" s="31"/>
      <c r="D107" s="79" t="s">
        <v>62</v>
      </c>
      <c r="E107" s="77"/>
      <c r="F107" s="80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6"/>
      <c r="BC107" s="76"/>
      <c r="BD107" s="76"/>
      <c r="BE107" s="79" t="s">
        <v>62</v>
      </c>
      <c r="BF107" s="77"/>
      <c r="BG107" s="97"/>
      <c r="BH107" s="81"/>
      <c r="BI107" s="81"/>
      <c r="BJ107" s="77"/>
      <c r="BK107" s="76"/>
    </row>
    <row r="108" spans="2:63">
      <c r="B108" s="70"/>
      <c r="C108" s="31"/>
      <c r="D108" s="70"/>
      <c r="E108" s="77" t="s">
        <v>63</v>
      </c>
      <c r="F108" s="15" t="s">
        <v>64</v>
      </c>
      <c r="G108" s="81">
        <f t="shared" ref="G108:U108" si="117">+G93/G74</f>
        <v>1435.8565737051792</v>
      </c>
      <c r="H108" s="81">
        <f t="shared" si="117"/>
        <v>1348.8446215139443</v>
      </c>
      <c r="I108" s="81">
        <f t="shared" si="117"/>
        <v>1317.9282868525897</v>
      </c>
      <c r="J108" s="81">
        <f t="shared" si="117"/>
        <v>1019.9203187250996</v>
      </c>
      <c r="K108" s="81">
        <f t="shared" si="117"/>
        <v>1019.9203187250996</v>
      </c>
      <c r="L108" s="81">
        <f t="shared" si="117"/>
        <v>1019.9203187250996</v>
      </c>
      <c r="M108" s="81">
        <f t="shared" si="117"/>
        <v>1019.9203187250996</v>
      </c>
      <c r="N108" s="81">
        <f t="shared" si="117"/>
        <v>1019.9203187250996</v>
      </c>
      <c r="O108" s="81">
        <f t="shared" si="117"/>
        <v>1019.9203187250996</v>
      </c>
      <c r="P108" s="81">
        <f t="shared" si="117"/>
        <v>1019.9203187250996</v>
      </c>
      <c r="Q108" s="81">
        <f t="shared" si="117"/>
        <v>1019.9203187250996</v>
      </c>
      <c r="R108" s="81">
        <f t="shared" si="117"/>
        <v>1019.9203187250996</v>
      </c>
      <c r="S108" s="81">
        <f t="shared" si="117"/>
        <v>1019.9203187250996</v>
      </c>
      <c r="T108" s="81">
        <f t="shared" si="117"/>
        <v>1019.9203187250996</v>
      </c>
      <c r="U108" s="81">
        <f t="shared" si="117"/>
        <v>1019.9203187250996</v>
      </c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6"/>
      <c r="BC108" s="76"/>
      <c r="BD108" s="76"/>
      <c r="BE108" s="70"/>
      <c r="BF108" s="77" t="s">
        <v>63</v>
      </c>
      <c r="BG108" s="96">
        <f t="shared" ref="BG108:BJ110" si="118">+G59-G108</f>
        <v>-92.972536371846218</v>
      </c>
      <c r="BH108" s="78">
        <f t="shared" si="118"/>
        <v>-87.338462580611122</v>
      </c>
      <c r="BI108" s="78">
        <f t="shared" si="118"/>
        <v>-85.336612185923059</v>
      </c>
      <c r="BJ108" s="30">
        <f t="shared" si="118"/>
        <v>-66.040425391766348</v>
      </c>
      <c r="BK108" s="33">
        <f>+BB59-BB108</f>
        <v>0</v>
      </c>
    </row>
    <row r="109" spans="2:63">
      <c r="B109" s="70"/>
      <c r="C109" s="31"/>
      <c r="D109" s="70"/>
      <c r="E109" s="77" t="s">
        <v>65</v>
      </c>
      <c r="F109" s="80" t="s">
        <v>54</v>
      </c>
      <c r="G109" s="81">
        <f t="shared" ref="G109:U109" si="119">++(G74*G83*G78)*G93</f>
        <v>0</v>
      </c>
      <c r="H109" s="81">
        <f t="shared" si="119"/>
        <v>0</v>
      </c>
      <c r="I109" s="81">
        <f t="shared" si="119"/>
        <v>0</v>
      </c>
      <c r="J109" s="81">
        <f t="shared" si="119"/>
        <v>0</v>
      </c>
      <c r="K109" s="81">
        <f t="shared" si="119"/>
        <v>0</v>
      </c>
      <c r="L109" s="81">
        <f t="shared" si="119"/>
        <v>0</v>
      </c>
      <c r="M109" s="81">
        <f t="shared" si="119"/>
        <v>0</v>
      </c>
      <c r="N109" s="81">
        <f t="shared" si="119"/>
        <v>0</v>
      </c>
      <c r="O109" s="81">
        <f t="shared" si="119"/>
        <v>0</v>
      </c>
      <c r="P109" s="81">
        <f t="shared" si="119"/>
        <v>0</v>
      </c>
      <c r="Q109" s="81">
        <f t="shared" si="119"/>
        <v>0</v>
      </c>
      <c r="R109" s="81">
        <f t="shared" si="119"/>
        <v>0</v>
      </c>
      <c r="S109" s="81">
        <f t="shared" si="119"/>
        <v>0</v>
      </c>
      <c r="T109" s="81">
        <f t="shared" si="119"/>
        <v>0</v>
      </c>
      <c r="U109" s="81">
        <f t="shared" si="119"/>
        <v>0</v>
      </c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6"/>
      <c r="BC109" s="76"/>
      <c r="BD109" s="76"/>
      <c r="BE109" s="70"/>
      <c r="BF109" s="77" t="s">
        <v>65</v>
      </c>
      <c r="BG109" s="97">
        <f t="shared" si="118"/>
        <v>677.70066401106237</v>
      </c>
      <c r="BH109" s="81">
        <f t="shared" si="118"/>
        <v>639.16883935414273</v>
      </c>
      <c r="BI109" s="81">
        <f t="shared" si="118"/>
        <v>625.75782732391201</v>
      </c>
      <c r="BJ109" s="77">
        <f t="shared" si="118"/>
        <v>484.74187339622392</v>
      </c>
      <c r="BK109" s="76">
        <f>+BB60-BB109</f>
        <v>0</v>
      </c>
    </row>
    <row r="110" spans="2:63">
      <c r="B110" s="70"/>
      <c r="C110" s="31"/>
      <c r="D110" s="82" t="s">
        <v>66</v>
      </c>
      <c r="E110" s="83"/>
      <c r="F110" s="84"/>
      <c r="G110" s="85">
        <f>+G100+G103+G106+G109</f>
        <v>25350.482003442234</v>
      </c>
      <c r="H110" s="85">
        <f>+H100+H103+H106+H109</f>
        <v>31169.665308991847</v>
      </c>
      <c r="I110" s="85">
        <f>+I100+I103+I106+I109</f>
        <v>33737.131128883397</v>
      </c>
      <c r="J110" s="85">
        <f t="shared" ref="J110:U110" si="120">+J100+J103+J106+J109</f>
        <v>26398.955858187255</v>
      </c>
      <c r="K110" s="85">
        <f t="shared" si="120"/>
        <v>25932.856366398973</v>
      </c>
      <c r="L110" s="85">
        <f t="shared" si="120"/>
        <v>25977.550525267085</v>
      </c>
      <c r="M110" s="85">
        <f t="shared" si="120"/>
        <v>26023.094408034329</v>
      </c>
      <c r="N110" s="85">
        <f t="shared" si="120"/>
        <v>26069.504567585915</v>
      </c>
      <c r="O110" s="85">
        <f t="shared" si="120"/>
        <v>26116.797883448817</v>
      </c>
      <c r="P110" s="85">
        <f t="shared" si="120"/>
        <v>26164.991568280464</v>
      </c>
      <c r="Q110" s="85">
        <f t="shared" si="120"/>
        <v>26214.103174486747</v>
      </c>
      <c r="R110" s="85">
        <f t="shared" si="120"/>
        <v>26264.150600971931</v>
      </c>
      <c r="S110" s="85">
        <f t="shared" si="120"/>
        <v>26315.152100023151</v>
      </c>
      <c r="T110" s="85">
        <f t="shared" si="120"/>
        <v>26367.126284332084</v>
      </c>
      <c r="U110" s="85">
        <f t="shared" si="120"/>
        <v>26420.092134156661</v>
      </c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6"/>
      <c r="BC110" s="76"/>
      <c r="BD110" s="76"/>
      <c r="BE110" s="82" t="s">
        <v>66</v>
      </c>
      <c r="BF110" s="83"/>
      <c r="BG110" s="98">
        <f t="shared" si="118"/>
        <v>82.893128693940525</v>
      </c>
      <c r="BH110" s="99">
        <f t="shared" si="118"/>
        <v>588.46879563135735</v>
      </c>
      <c r="BI110" s="99">
        <f t="shared" si="118"/>
        <v>81.95819391310215</v>
      </c>
      <c r="BJ110" s="100">
        <f t="shared" si="118"/>
        <v>22.482998300314648</v>
      </c>
      <c r="BK110" s="101">
        <f>+BB61-BB110</f>
        <v>0</v>
      </c>
    </row>
    <row r="111" spans="2:63">
      <c r="B111" s="14"/>
      <c r="C111" s="34"/>
      <c r="D111" s="61" t="s">
        <v>139</v>
      </c>
      <c r="E111" s="27"/>
      <c r="F111" s="11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9"/>
      <c r="BC111" s="33"/>
      <c r="BD111" s="33"/>
      <c r="BE111" s="61" t="s">
        <v>67</v>
      </c>
      <c r="BF111" s="27"/>
      <c r="BG111" s="10"/>
      <c r="BH111" s="27"/>
      <c r="BI111" s="27"/>
      <c r="BJ111" s="27"/>
      <c r="BK111" s="29"/>
    </row>
    <row r="112" spans="2:63">
      <c r="B112" s="70"/>
      <c r="C112" s="31"/>
      <c r="D112" s="71"/>
      <c r="E112" s="72" t="s">
        <v>140</v>
      </c>
      <c r="F112" s="73" t="s">
        <v>54</v>
      </c>
      <c r="G112" s="74">
        <f>+G89*12*G92</f>
        <v>6900.3988991999995</v>
      </c>
      <c r="H112" s="74">
        <f t="shared" ref="H112:U112" si="121">+H89*12*H92</f>
        <v>6965.7625202688005</v>
      </c>
      <c r="I112" s="74">
        <f t="shared" si="121"/>
        <v>7050.2005825781762</v>
      </c>
      <c r="J112" s="74">
        <f t="shared" si="121"/>
        <v>7136.3274061337406</v>
      </c>
      <c r="K112" s="74">
        <f t="shared" si="121"/>
        <v>7224.1767661604154</v>
      </c>
      <c r="L112" s="74">
        <f t="shared" si="121"/>
        <v>7313.7831133876243</v>
      </c>
      <c r="M112" s="74">
        <f t="shared" si="121"/>
        <v>7405.1815875593747</v>
      </c>
      <c r="N112" s="74">
        <f t="shared" si="121"/>
        <v>7498.4080312145652</v>
      </c>
      <c r="O112" s="74">
        <f t="shared" si="121"/>
        <v>7593.4990037428543</v>
      </c>
      <c r="P112" s="74">
        <f t="shared" si="121"/>
        <v>7690.4917957217112</v>
      </c>
      <c r="Q112" s="74">
        <f t="shared" si="121"/>
        <v>7789.4244435401461</v>
      </c>
      <c r="R112" s="74">
        <f t="shared" si="121"/>
        <v>7890.3357443149489</v>
      </c>
      <c r="S112" s="74">
        <f t="shared" si="121"/>
        <v>7993.2652711052478</v>
      </c>
      <c r="T112" s="74">
        <f t="shared" si="121"/>
        <v>8098.2533884313534</v>
      </c>
      <c r="U112" s="74">
        <f t="shared" si="121"/>
        <v>8205.3412681039808</v>
      </c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5"/>
      <c r="BC112" s="76"/>
      <c r="BD112" s="76"/>
      <c r="BE112" s="71"/>
      <c r="BF112" s="72" t="s">
        <v>68</v>
      </c>
      <c r="BG112" s="95">
        <f>+G63-G112</f>
        <v>-5044.0847839261442</v>
      </c>
      <c r="BH112" s="74">
        <f>+H63-H112</f>
        <v>-4133.2926136575225</v>
      </c>
      <c r="BI112" s="74">
        <f>+I63-I112</f>
        <v>-4174.7686546113546</v>
      </c>
      <c r="BJ112" s="72">
        <f>+J63-J112</f>
        <v>-4218.4385805113161</v>
      </c>
      <c r="BK112" s="75">
        <f>+BB63-BB112</f>
        <v>0</v>
      </c>
    </row>
    <row r="113" spans="2:63">
      <c r="B113" s="14"/>
      <c r="C113" s="34"/>
      <c r="D113" s="79" t="s">
        <v>69</v>
      </c>
      <c r="E113" s="30"/>
      <c r="F113" s="15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3"/>
      <c r="BC113" s="33"/>
      <c r="BD113" s="33"/>
      <c r="BE113" s="79" t="s">
        <v>69</v>
      </c>
      <c r="BF113" s="30"/>
      <c r="BG113" s="14"/>
      <c r="BH113" s="30"/>
      <c r="BI113" s="30"/>
      <c r="BJ113" s="30"/>
      <c r="BK113" s="33"/>
    </row>
    <row r="114" spans="2:63">
      <c r="B114" s="70"/>
      <c r="C114" s="31"/>
      <c r="D114" s="70"/>
      <c r="E114" s="77" t="s">
        <v>70</v>
      </c>
      <c r="F114" s="73" t="s">
        <v>54</v>
      </c>
      <c r="G114" s="81">
        <v>0</v>
      </c>
      <c r="H114" s="81">
        <v>0</v>
      </c>
      <c r="I114" s="81">
        <v>0</v>
      </c>
      <c r="J114" s="81">
        <v>0</v>
      </c>
      <c r="K114" s="81">
        <v>0</v>
      </c>
      <c r="L114" s="81">
        <v>0</v>
      </c>
      <c r="M114" s="81">
        <v>0</v>
      </c>
      <c r="N114" s="81">
        <v>0</v>
      </c>
      <c r="O114" s="81">
        <v>0</v>
      </c>
      <c r="P114" s="81">
        <v>0</v>
      </c>
      <c r="Q114" s="81">
        <v>0</v>
      </c>
      <c r="R114" s="81">
        <v>0</v>
      </c>
      <c r="S114" s="81">
        <v>0</v>
      </c>
      <c r="T114" s="81">
        <v>0</v>
      </c>
      <c r="U114" s="81">
        <v>0</v>
      </c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6"/>
      <c r="BC114" s="76"/>
      <c r="BD114" s="76"/>
      <c r="BE114" s="70"/>
      <c r="BF114" s="77" t="s">
        <v>70</v>
      </c>
      <c r="BG114" s="97">
        <f t="shared" ref="BG114:BJ116" si="122">+G65-G114</f>
        <v>445.25246016</v>
      </c>
      <c r="BH114" s="81">
        <f t="shared" si="122"/>
        <v>671.16199391999999</v>
      </c>
      <c r="BI114" s="81">
        <f t="shared" si="122"/>
        <v>673.07725440000013</v>
      </c>
      <c r="BJ114" s="77">
        <f t="shared" si="122"/>
        <v>674.71890624000002</v>
      </c>
      <c r="BK114" s="76">
        <f>+BB65-BB114</f>
        <v>0</v>
      </c>
    </row>
    <row r="115" spans="2:63">
      <c r="B115" s="70"/>
      <c r="C115" s="31"/>
      <c r="D115" s="82" t="s">
        <v>71</v>
      </c>
      <c r="E115" s="83"/>
      <c r="F115" s="84"/>
      <c r="G115" s="85">
        <f>+G114+G112</f>
        <v>6900.3988991999995</v>
      </c>
      <c r="H115" s="85">
        <f>+H114+H112</f>
        <v>6965.7625202688005</v>
      </c>
      <c r="I115" s="85">
        <f>+I114+I112</f>
        <v>7050.2005825781762</v>
      </c>
      <c r="J115" s="85">
        <f t="shared" ref="J115:U115" si="123">+J114+J112</f>
        <v>7136.3274061337406</v>
      </c>
      <c r="K115" s="85">
        <f t="shared" si="123"/>
        <v>7224.1767661604154</v>
      </c>
      <c r="L115" s="85">
        <f t="shared" si="123"/>
        <v>7313.7831133876243</v>
      </c>
      <c r="M115" s="85">
        <f t="shared" si="123"/>
        <v>7405.1815875593747</v>
      </c>
      <c r="N115" s="85">
        <f t="shared" si="123"/>
        <v>7498.4080312145652</v>
      </c>
      <c r="O115" s="85">
        <f t="shared" si="123"/>
        <v>7593.4990037428543</v>
      </c>
      <c r="P115" s="85">
        <f t="shared" si="123"/>
        <v>7690.4917957217112</v>
      </c>
      <c r="Q115" s="85">
        <f t="shared" si="123"/>
        <v>7789.4244435401461</v>
      </c>
      <c r="R115" s="85">
        <f t="shared" si="123"/>
        <v>7890.3357443149489</v>
      </c>
      <c r="S115" s="85">
        <f t="shared" si="123"/>
        <v>7993.2652711052478</v>
      </c>
      <c r="T115" s="85">
        <f t="shared" si="123"/>
        <v>8098.2533884313534</v>
      </c>
      <c r="U115" s="85">
        <f t="shared" si="123"/>
        <v>8205.3412681039808</v>
      </c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6"/>
      <c r="BC115" s="76"/>
      <c r="BD115" s="76"/>
      <c r="BE115" s="82" t="s">
        <v>71</v>
      </c>
      <c r="BF115" s="83"/>
      <c r="BG115" s="102">
        <f t="shared" si="122"/>
        <v>-4598.8323237661443</v>
      </c>
      <c r="BH115" s="85">
        <f t="shared" si="122"/>
        <v>-3462.1306197375229</v>
      </c>
      <c r="BI115" s="85">
        <f t="shared" si="122"/>
        <v>-3501.6914002113549</v>
      </c>
      <c r="BJ115" s="83">
        <f t="shared" si="122"/>
        <v>-3543.7196742713159</v>
      </c>
      <c r="BK115" s="86">
        <f>+BB66-BB115</f>
        <v>0</v>
      </c>
    </row>
    <row r="116" spans="2:63">
      <c r="B116" s="14"/>
      <c r="C116" s="34"/>
      <c r="D116" s="82" t="s">
        <v>72</v>
      </c>
      <c r="E116" s="83"/>
      <c r="F116" s="84"/>
      <c r="G116" s="85">
        <f>+G114+G112+G106+G103+G100</f>
        <v>32250.880902642231</v>
      </c>
      <c r="H116" s="85">
        <f>+H114+H112+H106+H103+H100</f>
        <v>38135.427829260647</v>
      </c>
      <c r="I116" s="85">
        <f>+I114+I112+I106+I103+I100</f>
        <v>40787.331711461578</v>
      </c>
      <c r="J116" s="85">
        <f t="shared" ref="J116:U116" si="124">+J114+J112+J106+J103+J100</f>
        <v>33535.283264320991</v>
      </c>
      <c r="K116" s="85">
        <f t="shared" si="124"/>
        <v>33157.033132559387</v>
      </c>
      <c r="L116" s="85">
        <f t="shared" si="124"/>
        <v>33291.333638654709</v>
      </c>
      <c r="M116" s="85">
        <f t="shared" si="124"/>
        <v>33428.275995593707</v>
      </c>
      <c r="N116" s="85">
        <f t="shared" si="124"/>
        <v>33567.912598800482</v>
      </c>
      <c r="O116" s="85">
        <f t="shared" si="124"/>
        <v>33710.296887191675</v>
      </c>
      <c r="P116" s="85">
        <f t="shared" si="124"/>
        <v>33855.483364002175</v>
      </c>
      <c r="Q116" s="85">
        <f t="shared" si="124"/>
        <v>34003.527618026892</v>
      </c>
      <c r="R116" s="85">
        <f t="shared" si="124"/>
        <v>34154.486345286881</v>
      </c>
      <c r="S116" s="85">
        <f t="shared" si="124"/>
        <v>34308.417371128395</v>
      </c>
      <c r="T116" s="85">
        <f t="shared" si="124"/>
        <v>34465.37967276344</v>
      </c>
      <c r="U116" s="85">
        <f t="shared" si="124"/>
        <v>34625.433402260642</v>
      </c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7">
        <f>+BB114+BB112+BB106+BB103+BB100</f>
        <v>0</v>
      </c>
      <c r="BC116" s="33"/>
      <c r="BD116" s="33"/>
      <c r="BE116" s="82" t="s">
        <v>72</v>
      </c>
      <c r="BF116" s="83"/>
      <c r="BG116" s="102">
        <f t="shared" si="122"/>
        <v>-4515.9391950721983</v>
      </c>
      <c r="BH116" s="85">
        <f t="shared" si="122"/>
        <v>-2873.661824106166</v>
      </c>
      <c r="BI116" s="85">
        <f t="shared" si="122"/>
        <v>-3419.7332062982532</v>
      </c>
      <c r="BJ116" s="85">
        <f t="shared" si="122"/>
        <v>-3521.2366759709985</v>
      </c>
      <c r="BK116" s="87">
        <f>+BB67-BB116</f>
        <v>0</v>
      </c>
    </row>
    <row r="117" spans="2:63">
      <c r="B117" s="19"/>
      <c r="C117" s="88"/>
      <c r="D117" s="82"/>
      <c r="E117" s="83"/>
      <c r="F117" s="84"/>
      <c r="G117" s="139"/>
      <c r="H117" s="139"/>
      <c r="I117" s="139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2"/>
      <c r="BD117" s="30"/>
    </row>
    <row r="118" spans="2:63" hidden="1"/>
    <row r="119" spans="2:63">
      <c r="B119" s="10"/>
      <c r="C119" s="26"/>
      <c r="D119" s="27"/>
      <c r="E119" s="27"/>
      <c r="F119" s="28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9"/>
      <c r="BD119" s="30"/>
    </row>
    <row r="120" spans="2:63">
      <c r="B120" s="14"/>
      <c r="C120" s="31" t="s">
        <v>137</v>
      </c>
      <c r="D120" s="30"/>
      <c r="E120" s="30"/>
      <c r="F120" s="32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3"/>
      <c r="BD120" s="30"/>
    </row>
    <row r="121" spans="2:63">
      <c r="B121" s="14"/>
      <c r="C121" s="34"/>
      <c r="D121" s="30"/>
      <c r="E121" s="30"/>
      <c r="F121" s="32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3"/>
      <c r="BD121" s="30"/>
      <c r="BG121" t="s">
        <v>78</v>
      </c>
    </row>
    <row r="122" spans="2:63">
      <c r="B122" s="14"/>
      <c r="C122" s="34"/>
      <c r="D122" s="30"/>
      <c r="E122" s="30"/>
      <c r="F122" s="7" t="s">
        <v>6</v>
      </c>
      <c r="G122" s="109">
        <v>2010</v>
      </c>
      <c r="H122" s="109">
        <v>2011</v>
      </c>
      <c r="I122" s="109">
        <v>2012</v>
      </c>
      <c r="J122" s="8">
        <v>2013</v>
      </c>
      <c r="K122" s="8">
        <v>2014</v>
      </c>
      <c r="L122" s="8">
        <v>2015</v>
      </c>
      <c r="M122" s="8">
        <v>2016</v>
      </c>
      <c r="N122" s="8">
        <v>2017</v>
      </c>
      <c r="O122" s="8">
        <v>2018</v>
      </c>
      <c r="P122" s="8">
        <v>2019</v>
      </c>
      <c r="Q122" s="8">
        <v>2020</v>
      </c>
      <c r="R122" s="8">
        <v>2021</v>
      </c>
      <c r="S122" s="8">
        <v>2022</v>
      </c>
      <c r="T122" s="8">
        <v>2023</v>
      </c>
      <c r="U122" s="8">
        <v>2024</v>
      </c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9">
        <v>2014</v>
      </c>
      <c r="BC122" s="33"/>
      <c r="BD122" s="30"/>
      <c r="BG122" s="90">
        <v>2010</v>
      </c>
      <c r="BH122" s="8">
        <v>2011</v>
      </c>
      <c r="BI122" s="8">
        <v>2012</v>
      </c>
      <c r="BJ122" s="8">
        <v>2013</v>
      </c>
      <c r="BK122" s="9">
        <v>2014</v>
      </c>
    </row>
    <row r="123" spans="2:63">
      <c r="B123" s="14"/>
      <c r="C123" s="34"/>
      <c r="D123" s="61" t="s">
        <v>76</v>
      </c>
      <c r="E123" s="27"/>
      <c r="F123" s="11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9"/>
      <c r="BC123" s="33"/>
      <c r="BD123" s="33"/>
      <c r="BE123" s="61" t="s">
        <v>77</v>
      </c>
      <c r="BF123" s="27"/>
      <c r="BG123" s="10"/>
      <c r="BH123" s="27"/>
      <c r="BI123" s="27"/>
      <c r="BJ123" s="27"/>
      <c r="BK123" s="29"/>
    </row>
    <row r="124" spans="2:63" hidden="1">
      <c r="B124" s="14"/>
      <c r="C124" s="34"/>
      <c r="D124" s="14"/>
      <c r="E124" s="30" t="s">
        <v>49</v>
      </c>
      <c r="F124" s="15" t="s">
        <v>50</v>
      </c>
      <c r="G124" s="62"/>
      <c r="H124" s="62"/>
      <c r="I124" s="62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3"/>
      <c r="BC124" s="33"/>
      <c r="BD124" s="33"/>
      <c r="BE124" s="14"/>
      <c r="BF124" s="30" t="s">
        <v>49</v>
      </c>
      <c r="BG124" s="93">
        <f>G124-G97</f>
        <v>-29.08403219123506</v>
      </c>
      <c r="BH124" s="62">
        <f>H124-H97</f>
        <v>-38.997663558884462</v>
      </c>
      <c r="BI124" s="62">
        <f>I124-I97</f>
        <v>-43.33418586590598</v>
      </c>
      <c r="BJ124" s="30">
        <f>J124-J97</f>
        <v>-43.368510285521978</v>
      </c>
      <c r="BK124" s="33">
        <f>BB124-BB97</f>
        <v>0</v>
      </c>
    </row>
    <row r="125" spans="2:63" hidden="1">
      <c r="B125" s="63"/>
      <c r="C125" s="64"/>
      <c r="D125" s="63"/>
      <c r="E125" s="65" t="s">
        <v>51</v>
      </c>
      <c r="F125" s="40" t="s">
        <v>50</v>
      </c>
      <c r="G125" s="66"/>
      <c r="H125" s="66"/>
      <c r="I125" s="66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8"/>
      <c r="BC125" s="68"/>
      <c r="BD125" s="68"/>
      <c r="BE125" s="63"/>
      <c r="BF125" s="65" t="s">
        <v>51</v>
      </c>
      <c r="BG125" s="94"/>
      <c r="BH125" s="66"/>
      <c r="BI125" s="66"/>
      <c r="BJ125" s="67"/>
      <c r="BK125" s="68"/>
    </row>
    <row r="126" spans="2:63" hidden="1">
      <c r="B126" s="63"/>
      <c r="C126" s="64"/>
      <c r="D126" s="63"/>
      <c r="E126" s="65" t="s">
        <v>52</v>
      </c>
      <c r="F126" s="40" t="s">
        <v>50</v>
      </c>
      <c r="G126" s="66"/>
      <c r="H126" s="66"/>
      <c r="I126" s="66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8"/>
      <c r="BC126" s="68"/>
      <c r="BD126" s="68"/>
      <c r="BE126" s="63"/>
      <c r="BF126" s="65" t="s">
        <v>52</v>
      </c>
      <c r="BG126" s="94"/>
      <c r="BH126" s="66"/>
      <c r="BI126" s="66"/>
      <c r="BJ126" s="67"/>
      <c r="BK126" s="68"/>
    </row>
    <row r="127" spans="2:63">
      <c r="B127" s="70"/>
      <c r="C127" s="31"/>
      <c r="D127" s="71"/>
      <c r="E127" s="72" t="s">
        <v>53</v>
      </c>
      <c r="F127" s="73" t="s">
        <v>54</v>
      </c>
      <c r="G127" s="74">
        <f t="shared" ref="G127:U127" si="125">+G51-G100</f>
        <v>-105.92246835455808</v>
      </c>
      <c r="H127" s="74">
        <f t="shared" si="125"/>
        <v>312.50819249929555</v>
      </c>
      <c r="I127" s="74">
        <f t="shared" si="125"/>
        <v>-201.0128500604078</v>
      </c>
      <c r="J127" s="74">
        <f t="shared" si="125"/>
        <v>-148.97012468950561</v>
      </c>
      <c r="K127" s="74">
        <f t="shared" si="125"/>
        <v>367.29900203755824</v>
      </c>
      <c r="L127" s="74">
        <f t="shared" si="125"/>
        <v>373.32147627884478</v>
      </c>
      <c r="M127" s="74">
        <f t="shared" si="125"/>
        <v>379.05189044769941</v>
      </c>
      <c r="N127" s="74">
        <f t="shared" si="125"/>
        <v>384.48456788503245</v>
      </c>
      <c r="O127" s="74">
        <f t="shared" si="125"/>
        <v>368.16553032763477</v>
      </c>
      <c r="P127" s="74">
        <f t="shared" si="125"/>
        <v>372.98525455237177</v>
      </c>
      <c r="Q127" s="74">
        <f t="shared" si="125"/>
        <v>356.04134209595941</v>
      </c>
      <c r="R127" s="74">
        <f t="shared" si="125"/>
        <v>360.22403467531694</v>
      </c>
      <c r="S127" s="74">
        <f t="shared" si="125"/>
        <v>207.5070988865773</v>
      </c>
      <c r="T127" s="74">
        <f t="shared" si="125"/>
        <v>346.15131759831638</v>
      </c>
      <c r="U127" s="74">
        <f t="shared" si="125"/>
        <v>327.88301763707204</v>
      </c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5"/>
      <c r="BC127" s="76"/>
      <c r="BD127" s="76"/>
      <c r="BE127" s="71"/>
      <c r="BF127" s="72" t="s">
        <v>53</v>
      </c>
      <c r="BG127" s="95">
        <f>G127-G100</f>
        <v>-21069.692871796789</v>
      </c>
      <c r="BH127" s="74">
        <f>H127-H100</f>
        <v>-26093.589756492551</v>
      </c>
      <c r="BI127" s="74">
        <f>I127-I100</f>
        <v>-28870.910218943805</v>
      </c>
      <c r="BJ127" s="72">
        <f>J127-J100</f>
        <v>-22353.647390876758</v>
      </c>
      <c r="BK127" s="75">
        <f>BB127-BB100</f>
        <v>0</v>
      </c>
    </row>
    <row r="128" spans="2:63">
      <c r="B128" s="14"/>
      <c r="C128" s="34"/>
      <c r="D128" s="61" t="s">
        <v>55</v>
      </c>
      <c r="E128" s="27"/>
      <c r="F128" s="11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9"/>
      <c r="BC128" s="33"/>
      <c r="BD128" s="33"/>
      <c r="BE128" s="61" t="s">
        <v>55</v>
      </c>
      <c r="BF128" s="27"/>
      <c r="BG128" s="10"/>
      <c r="BH128" s="27"/>
      <c r="BI128" s="27"/>
      <c r="BJ128" s="27"/>
      <c r="BK128" s="29"/>
    </row>
    <row r="129" spans="2:63" hidden="1">
      <c r="B129" s="14"/>
      <c r="C129" s="34"/>
      <c r="D129" s="14"/>
      <c r="E129" s="30" t="s">
        <v>56</v>
      </c>
      <c r="F129" s="15" t="s">
        <v>54</v>
      </c>
      <c r="G129" s="62"/>
      <c r="H129" s="62"/>
      <c r="I129" s="62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3"/>
      <c r="BC129" s="33"/>
      <c r="BD129" s="33"/>
      <c r="BE129" s="14"/>
      <c r="BF129" s="30" t="s">
        <v>56</v>
      </c>
      <c r="BG129" s="93"/>
      <c r="BH129" s="62"/>
      <c r="BI129" s="62"/>
      <c r="BJ129" s="30"/>
      <c r="BK129" s="33"/>
    </row>
    <row r="130" spans="2:63">
      <c r="B130" s="70"/>
      <c r="C130" s="31"/>
      <c r="D130" s="71"/>
      <c r="E130" s="72" t="s">
        <v>57</v>
      </c>
      <c r="F130" s="73" t="s">
        <v>54</v>
      </c>
      <c r="G130" s="74">
        <f t="shared" ref="G130:U130" si="126">+G54-G103</f>
        <v>-279.34396592256002</v>
      </c>
      <c r="H130" s="74">
        <f t="shared" si="126"/>
        <v>-172.49982585407997</v>
      </c>
      <c r="I130" s="74">
        <f t="shared" si="126"/>
        <v>-150.16690535039993</v>
      </c>
      <c r="J130" s="74">
        <f t="shared" si="126"/>
        <v>-166.9428944064</v>
      </c>
      <c r="K130" s="74">
        <f t="shared" si="126"/>
        <v>-190.16706746880027</v>
      </c>
      <c r="L130" s="74">
        <f t="shared" si="126"/>
        <v>-214.8288742272</v>
      </c>
      <c r="M130" s="74">
        <f t="shared" si="126"/>
        <v>-240.02063977113585</v>
      </c>
      <c r="N130" s="74">
        <f t="shared" si="126"/>
        <v>-265.7529632763185</v>
      </c>
      <c r="O130" s="74">
        <f t="shared" si="126"/>
        <v>-292.49568903157274</v>
      </c>
      <c r="P130" s="74">
        <f t="shared" si="126"/>
        <v>-319.80081128970824</v>
      </c>
      <c r="Q130" s="74">
        <f t="shared" si="126"/>
        <v>-347.67957798078237</v>
      </c>
      <c r="R130" s="74">
        <f t="shared" si="126"/>
        <v>-375.68442886385424</v>
      </c>
      <c r="S130" s="74">
        <f t="shared" si="126"/>
        <v>-405.20416567415532</v>
      </c>
      <c r="T130" s="74">
        <f t="shared" si="126"/>
        <v>-434.87362541624634</v>
      </c>
      <c r="U130" s="74">
        <f t="shared" si="126"/>
        <v>-465.16401634095496</v>
      </c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5"/>
      <c r="BC130" s="76"/>
      <c r="BD130" s="76"/>
      <c r="BE130" s="71"/>
      <c r="BF130" s="72" t="s">
        <v>57</v>
      </c>
      <c r="BG130" s="95">
        <f>G130-G103</f>
        <v>-997.54396592256012</v>
      </c>
      <c r="BH130" s="74">
        <f>H130-H103</f>
        <v>-1362.22782585408</v>
      </c>
      <c r="BI130" s="74">
        <f>I130-I103</f>
        <v>-1476.0526653504</v>
      </c>
      <c r="BJ130" s="72">
        <f>J130-J103</f>
        <v>-1465.8614864064002</v>
      </c>
      <c r="BK130" s="75">
        <f>BB130-BB103</f>
        <v>0</v>
      </c>
    </row>
    <row r="131" spans="2:63">
      <c r="B131" s="14"/>
      <c r="C131" s="34"/>
      <c r="D131" s="61" t="s">
        <v>58</v>
      </c>
      <c r="E131" s="27"/>
      <c r="F131" s="11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9"/>
      <c r="BC131" s="33"/>
      <c r="BD131" s="33"/>
      <c r="BE131" s="61" t="s">
        <v>58</v>
      </c>
      <c r="BF131" s="27"/>
      <c r="BG131" s="10"/>
      <c r="BH131" s="27"/>
      <c r="BI131" s="27"/>
      <c r="BJ131" s="27"/>
      <c r="BK131" s="29"/>
    </row>
    <row r="132" spans="2:63" hidden="1">
      <c r="B132" s="14"/>
      <c r="C132" s="34"/>
      <c r="D132" s="14"/>
      <c r="E132" s="30" t="s">
        <v>59</v>
      </c>
      <c r="F132" s="15" t="s">
        <v>60</v>
      </c>
      <c r="G132" s="78"/>
      <c r="H132" s="78"/>
      <c r="I132" s="78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3"/>
      <c r="BC132" s="33"/>
      <c r="BD132" s="33"/>
      <c r="BE132" s="14"/>
      <c r="BF132" s="30" t="s">
        <v>59</v>
      </c>
      <c r="BG132" s="96">
        <f>(+G105-G132)*-1</f>
        <v>-271.74160000000001</v>
      </c>
      <c r="BH132" s="78">
        <f>(+H105-H132)*-1</f>
        <v>-255.27423999999999</v>
      </c>
      <c r="BI132" s="78">
        <f>(+I105-I132)*-1</f>
        <v>-249.42320000000001</v>
      </c>
      <c r="BJ132" s="30">
        <f>(+J105-J132)*-1</f>
        <v>-193.024</v>
      </c>
      <c r="BK132" s="33">
        <f>(+BB105-BB132)*-1</f>
        <v>0</v>
      </c>
    </row>
    <row r="133" spans="2:63">
      <c r="B133" s="70"/>
      <c r="C133" s="31"/>
      <c r="D133" s="71"/>
      <c r="E133" s="72" t="s">
        <v>61</v>
      </c>
      <c r="F133" s="73" t="s">
        <v>54</v>
      </c>
      <c r="G133" s="74">
        <f t="shared" ref="G133:U133" si="127">+G57-G106</f>
        <v>-209.54110103999983</v>
      </c>
      <c r="H133" s="74">
        <f t="shared" si="127"/>
        <v>-190.70841036800039</v>
      </c>
      <c r="I133" s="74">
        <f t="shared" si="127"/>
        <v>-192.61987800000043</v>
      </c>
      <c r="J133" s="74">
        <f t="shared" si="127"/>
        <v>-146.34585600000082</v>
      </c>
      <c r="K133" s="74">
        <f t="shared" si="127"/>
        <v>-143.62675200000058</v>
      </c>
      <c r="L133" s="74">
        <f t="shared" si="127"/>
        <v>-140.90764800000079</v>
      </c>
      <c r="M133" s="74">
        <f t="shared" si="127"/>
        <v>-138.18854400000009</v>
      </c>
      <c r="N133" s="74">
        <f t="shared" si="127"/>
        <v>-135.4694400000003</v>
      </c>
      <c r="O133" s="74">
        <f t="shared" si="127"/>
        <v>-135.4694400000003</v>
      </c>
      <c r="P133" s="74">
        <f t="shared" si="127"/>
        <v>-132.75033600000006</v>
      </c>
      <c r="Q133" s="74">
        <f t="shared" si="127"/>
        <v>-132.75033600000006</v>
      </c>
      <c r="R133" s="74">
        <f t="shared" si="127"/>
        <v>-130.03123199999982</v>
      </c>
      <c r="S133" s="74">
        <f t="shared" si="127"/>
        <v>-147.16158720000067</v>
      </c>
      <c r="T133" s="74">
        <f t="shared" si="127"/>
        <v>-127.31212800000003</v>
      </c>
      <c r="U133" s="74">
        <f t="shared" si="127"/>
        <v>-127.31212800000003</v>
      </c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5"/>
      <c r="BC133" s="76"/>
      <c r="BD133" s="76"/>
      <c r="BE133" s="71"/>
      <c r="BF133" s="72" t="s">
        <v>61</v>
      </c>
      <c r="BG133" s="95">
        <f>G133-G106</f>
        <v>-3878.0527010400001</v>
      </c>
      <c r="BH133" s="74">
        <f>H133-H106</f>
        <v>-3764.5477703680003</v>
      </c>
      <c r="BI133" s="74">
        <f>I133-I106</f>
        <v>-3933.9678780000004</v>
      </c>
      <c r="BJ133" s="72">
        <f>J133-J106</f>
        <v>-3041.7058560000009</v>
      </c>
      <c r="BK133" s="75">
        <f>BB133-BB106</f>
        <v>0</v>
      </c>
    </row>
    <row r="134" spans="2:63">
      <c r="B134" s="70"/>
      <c r="C134" s="31"/>
      <c r="D134" s="79" t="s">
        <v>62</v>
      </c>
      <c r="E134" s="77"/>
      <c r="F134" s="80"/>
      <c r="G134" s="81"/>
      <c r="H134" s="81"/>
      <c r="I134" s="81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6"/>
      <c r="BC134" s="76"/>
      <c r="BD134" s="76"/>
      <c r="BE134" s="79" t="s">
        <v>62</v>
      </c>
      <c r="BF134" s="77"/>
      <c r="BG134" s="97"/>
      <c r="BH134" s="81"/>
      <c r="BI134" s="81"/>
      <c r="BJ134" s="77"/>
      <c r="BK134" s="76"/>
    </row>
    <row r="135" spans="2:63" hidden="1">
      <c r="B135" s="70"/>
      <c r="C135" s="31"/>
      <c r="D135" s="70"/>
      <c r="E135" s="77" t="s">
        <v>63</v>
      </c>
      <c r="F135" s="15" t="s">
        <v>64</v>
      </c>
      <c r="G135" s="81"/>
      <c r="H135" s="81"/>
      <c r="I135" s="81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6"/>
      <c r="BC135" s="76"/>
      <c r="BD135" s="76"/>
      <c r="BE135" s="70"/>
      <c r="BF135" s="77" t="s">
        <v>63</v>
      </c>
      <c r="BG135" s="96"/>
      <c r="BH135" s="78"/>
      <c r="BI135" s="78"/>
      <c r="BJ135" s="30"/>
      <c r="BK135" s="33"/>
    </row>
    <row r="136" spans="2:63">
      <c r="B136" s="70"/>
      <c r="C136" s="31"/>
      <c r="D136" s="70"/>
      <c r="E136" s="77" t="s">
        <v>65</v>
      </c>
      <c r="F136" s="80" t="s">
        <v>54</v>
      </c>
      <c r="G136" s="74">
        <f t="shared" ref="G136:U136" si="128">+G60-G109</f>
        <v>677.70066401106237</v>
      </c>
      <c r="H136" s="74">
        <f t="shared" si="128"/>
        <v>639.16883935414273</v>
      </c>
      <c r="I136" s="74">
        <f t="shared" si="128"/>
        <v>625.75782732391201</v>
      </c>
      <c r="J136" s="74">
        <f t="shared" si="128"/>
        <v>484.74187339622392</v>
      </c>
      <c r="K136" s="74">
        <f t="shared" si="128"/>
        <v>0</v>
      </c>
      <c r="L136" s="74">
        <f t="shared" si="128"/>
        <v>0</v>
      </c>
      <c r="M136" s="74">
        <f t="shared" si="128"/>
        <v>0</v>
      </c>
      <c r="N136" s="74">
        <f t="shared" si="128"/>
        <v>0</v>
      </c>
      <c r="O136" s="74">
        <f t="shared" si="128"/>
        <v>0</v>
      </c>
      <c r="P136" s="74">
        <f t="shared" si="128"/>
        <v>0</v>
      </c>
      <c r="Q136" s="74">
        <f t="shared" si="128"/>
        <v>0</v>
      </c>
      <c r="R136" s="74">
        <f t="shared" si="128"/>
        <v>0</v>
      </c>
      <c r="S136" s="74">
        <f t="shared" si="128"/>
        <v>0</v>
      </c>
      <c r="T136" s="74">
        <f t="shared" si="128"/>
        <v>0</v>
      </c>
      <c r="U136" s="74">
        <f t="shared" si="128"/>
        <v>0</v>
      </c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6"/>
      <c r="BC136" s="76"/>
      <c r="BD136" s="76"/>
      <c r="BE136" s="70"/>
      <c r="BF136" s="77" t="s">
        <v>65</v>
      </c>
      <c r="BG136" s="97">
        <f t="shared" ref="BG136:BJ137" si="129">G136-G109</f>
        <v>677.70066401106237</v>
      </c>
      <c r="BH136" s="81">
        <f t="shared" si="129"/>
        <v>639.16883935414273</v>
      </c>
      <c r="BI136" s="81">
        <f t="shared" si="129"/>
        <v>625.75782732391201</v>
      </c>
      <c r="BJ136" s="77">
        <f t="shared" si="129"/>
        <v>484.74187339622392</v>
      </c>
      <c r="BK136" s="76">
        <f>BB136-BB109</f>
        <v>0</v>
      </c>
    </row>
    <row r="137" spans="2:63">
      <c r="B137" s="70"/>
      <c r="C137" s="31"/>
      <c r="D137" s="82" t="s">
        <v>66</v>
      </c>
      <c r="E137" s="83"/>
      <c r="F137" s="84"/>
      <c r="G137" s="74">
        <f t="shared" ref="G137:U137" si="130">+G61-G110</f>
        <v>82.893128693940525</v>
      </c>
      <c r="H137" s="74">
        <f t="shared" si="130"/>
        <v>588.46879563135735</v>
      </c>
      <c r="I137" s="74">
        <f t="shared" si="130"/>
        <v>81.95819391310215</v>
      </c>
      <c r="J137" s="74">
        <f t="shared" si="130"/>
        <v>22.482998300314648</v>
      </c>
      <c r="K137" s="74">
        <f t="shared" si="130"/>
        <v>33.505182568755117</v>
      </c>
      <c r="L137" s="74">
        <f t="shared" si="130"/>
        <v>17.584954051642853</v>
      </c>
      <c r="M137" s="74">
        <f t="shared" si="130"/>
        <v>0.84270667656528531</v>
      </c>
      <c r="N137" s="74">
        <f t="shared" si="130"/>
        <v>-16.737835391286353</v>
      </c>
      <c r="O137" s="74">
        <f t="shared" si="130"/>
        <v>-59.799598703935771</v>
      </c>
      <c r="P137" s="74">
        <f t="shared" si="130"/>
        <v>-79.565892737336981</v>
      </c>
      <c r="Q137" s="74">
        <f t="shared" si="130"/>
        <v>-124.38857188482507</v>
      </c>
      <c r="R137" s="74">
        <f t="shared" si="130"/>
        <v>-145.49162618853734</v>
      </c>
      <c r="S137" s="74">
        <f t="shared" si="130"/>
        <v>-344.8586539875796</v>
      </c>
      <c r="T137" s="74">
        <f t="shared" si="130"/>
        <v>-216.03443581792817</v>
      </c>
      <c r="U137" s="74">
        <f t="shared" si="130"/>
        <v>-264.59312670388317</v>
      </c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6"/>
      <c r="BC137" s="76"/>
      <c r="BD137" s="76"/>
      <c r="BE137" s="82" t="s">
        <v>66</v>
      </c>
      <c r="BF137" s="83"/>
      <c r="BG137" s="98">
        <f t="shared" si="129"/>
        <v>-25267.588874748293</v>
      </c>
      <c r="BH137" s="99">
        <f t="shared" si="129"/>
        <v>-30581.19651336049</v>
      </c>
      <c r="BI137" s="99">
        <f t="shared" si="129"/>
        <v>-33655.172934970295</v>
      </c>
      <c r="BJ137" s="100">
        <f t="shared" si="129"/>
        <v>-26376.472859886941</v>
      </c>
      <c r="BK137" s="101">
        <f>BB137-BB110</f>
        <v>0</v>
      </c>
    </row>
    <row r="138" spans="2:63">
      <c r="B138" s="14"/>
      <c r="C138" s="34"/>
      <c r="D138" s="61" t="s">
        <v>67</v>
      </c>
      <c r="E138" s="27"/>
      <c r="F138" s="11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9"/>
      <c r="BC138" s="33"/>
      <c r="BD138" s="33"/>
      <c r="BE138" s="61" t="s">
        <v>67</v>
      </c>
      <c r="BF138" s="27"/>
      <c r="BG138" s="10"/>
      <c r="BH138" s="27"/>
      <c r="BI138" s="27"/>
      <c r="BJ138" s="27"/>
      <c r="BK138" s="29"/>
    </row>
    <row r="139" spans="2:63">
      <c r="B139" s="70"/>
      <c r="C139" s="31"/>
      <c r="D139" s="71"/>
      <c r="E139" s="72" t="s">
        <v>68</v>
      </c>
      <c r="F139" s="73" t="s">
        <v>54</v>
      </c>
      <c r="G139" s="74">
        <f t="shared" ref="G139:U139" si="131">+G63-G112</f>
        <v>-5044.0847839261442</v>
      </c>
      <c r="H139" s="74">
        <f t="shared" si="131"/>
        <v>-4133.2926136575225</v>
      </c>
      <c r="I139" s="74">
        <f t="shared" si="131"/>
        <v>-4174.7686546113546</v>
      </c>
      <c r="J139" s="74">
        <f t="shared" si="131"/>
        <v>-4218.4385805113161</v>
      </c>
      <c r="K139" s="74">
        <f t="shared" si="131"/>
        <v>-4263.1705627903666</v>
      </c>
      <c r="L139" s="74">
        <f t="shared" si="131"/>
        <v>-4311.4131239845901</v>
      </c>
      <c r="M139" s="74">
        <f t="shared" si="131"/>
        <v>-4360.8248155182955</v>
      </c>
      <c r="N139" s="74">
        <f t="shared" si="131"/>
        <v>-4411.4312060076918</v>
      </c>
      <c r="O139" s="74">
        <f t="shared" si="131"/>
        <v>-4464.5165317471128</v>
      </c>
      <c r="P139" s="74">
        <f t="shared" si="131"/>
        <v>-4518.8805099956207</v>
      </c>
      <c r="Q139" s="74">
        <f t="shared" si="131"/>
        <v>-4574.5509886495029</v>
      </c>
      <c r="R139" s="74">
        <f t="shared" si="131"/>
        <v>-4630.2507938505714</v>
      </c>
      <c r="S139" s="74">
        <f t="shared" si="131"/>
        <v>-4689.9257452462434</v>
      </c>
      <c r="T139" s="74">
        <f t="shared" si="131"/>
        <v>-4749.6886609699141</v>
      </c>
      <c r="U139" s="74">
        <f t="shared" si="131"/>
        <v>-4810.8753768822517</v>
      </c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5"/>
      <c r="BC139" s="76"/>
      <c r="BD139" s="76"/>
      <c r="BE139" s="71"/>
      <c r="BF139" s="72" t="s">
        <v>68</v>
      </c>
      <c r="BG139" s="95">
        <f>G139-G112</f>
        <v>-11944.483683126144</v>
      </c>
      <c r="BH139" s="74">
        <f>H139-H112</f>
        <v>-11099.055133926322</v>
      </c>
      <c r="BI139" s="74">
        <f>I139-I112</f>
        <v>-11224.969237189531</v>
      </c>
      <c r="BJ139" s="72">
        <f>J139-J112</f>
        <v>-11354.765986645056</v>
      </c>
      <c r="BK139" s="75">
        <f>BB139-BB112</f>
        <v>0</v>
      </c>
    </row>
    <row r="140" spans="2:63">
      <c r="B140" s="14"/>
      <c r="C140" s="34"/>
      <c r="D140" s="79" t="s">
        <v>69</v>
      </c>
      <c r="E140" s="30"/>
      <c r="F140" s="15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3"/>
      <c r="BC140" s="33"/>
      <c r="BD140" s="33"/>
      <c r="BE140" s="79" t="s">
        <v>69</v>
      </c>
      <c r="BF140" s="30"/>
      <c r="BG140" s="14"/>
      <c r="BH140" s="30"/>
      <c r="BI140" s="30"/>
      <c r="BJ140" s="30"/>
      <c r="BK140" s="33"/>
    </row>
    <row r="141" spans="2:63">
      <c r="B141" s="70"/>
      <c r="C141" s="31"/>
      <c r="D141" s="70"/>
      <c r="E141" s="77" t="s">
        <v>70</v>
      </c>
      <c r="F141" s="73" t="s">
        <v>54</v>
      </c>
      <c r="G141" s="74">
        <f t="shared" ref="G141:U141" si="132">+G65-G114</f>
        <v>445.25246016</v>
      </c>
      <c r="H141" s="74">
        <f t="shared" si="132"/>
        <v>671.16199391999999</v>
      </c>
      <c r="I141" s="74">
        <f t="shared" si="132"/>
        <v>673.07725440000013</v>
      </c>
      <c r="J141" s="74">
        <f t="shared" si="132"/>
        <v>674.71890624000002</v>
      </c>
      <c r="K141" s="74">
        <f t="shared" si="132"/>
        <v>676.36055807999992</v>
      </c>
      <c r="L141" s="74">
        <f t="shared" si="132"/>
        <v>677.45499264000023</v>
      </c>
      <c r="M141" s="74">
        <f t="shared" si="132"/>
        <v>678.54942720000008</v>
      </c>
      <c r="N141" s="74">
        <f t="shared" si="132"/>
        <v>679.64386176000005</v>
      </c>
      <c r="O141" s="74">
        <f t="shared" si="132"/>
        <v>680.46468768000011</v>
      </c>
      <c r="P141" s="74">
        <f t="shared" si="132"/>
        <v>681.28551360000006</v>
      </c>
      <c r="Q141" s="74">
        <f t="shared" si="132"/>
        <v>682.10633952000001</v>
      </c>
      <c r="R141" s="74">
        <f t="shared" si="132"/>
        <v>683.20077407999997</v>
      </c>
      <c r="S141" s="74">
        <f t="shared" si="132"/>
        <v>683.74799136000001</v>
      </c>
      <c r="T141" s="74">
        <f t="shared" si="132"/>
        <v>684.56881728000008</v>
      </c>
      <c r="U141" s="74">
        <f t="shared" si="132"/>
        <v>685.38964320000002</v>
      </c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6"/>
      <c r="BC141" s="76"/>
      <c r="BD141" s="76"/>
      <c r="BE141" s="70"/>
      <c r="BF141" s="77" t="s">
        <v>70</v>
      </c>
      <c r="BG141" s="97">
        <f t="shared" ref="BG141:BJ143" si="133">G141-G114</f>
        <v>445.25246016</v>
      </c>
      <c r="BH141" s="81">
        <f t="shared" si="133"/>
        <v>671.16199391999999</v>
      </c>
      <c r="BI141" s="81">
        <f t="shared" si="133"/>
        <v>673.07725440000013</v>
      </c>
      <c r="BJ141" s="77">
        <f t="shared" si="133"/>
        <v>674.71890624000002</v>
      </c>
      <c r="BK141" s="76">
        <f>BB141-BB114</f>
        <v>0</v>
      </c>
    </row>
    <row r="142" spans="2:63">
      <c r="B142" s="70"/>
      <c r="C142" s="31"/>
      <c r="D142" s="82" t="s">
        <v>71</v>
      </c>
      <c r="E142" s="83"/>
      <c r="F142" s="84"/>
      <c r="G142" s="74">
        <f t="shared" ref="G142:U142" si="134">+G66-G115</f>
        <v>-4598.8323237661443</v>
      </c>
      <c r="H142" s="74">
        <f t="shared" si="134"/>
        <v>-3462.1306197375229</v>
      </c>
      <c r="I142" s="74">
        <f t="shared" si="134"/>
        <v>-3501.6914002113549</v>
      </c>
      <c r="J142" s="74">
        <f t="shared" si="134"/>
        <v>-3543.7196742713159</v>
      </c>
      <c r="K142" s="74">
        <f t="shared" si="134"/>
        <v>-3586.8100047103667</v>
      </c>
      <c r="L142" s="74">
        <f t="shared" si="134"/>
        <v>-3633.9581313445897</v>
      </c>
      <c r="M142" s="74">
        <f t="shared" si="134"/>
        <v>-3682.275388318295</v>
      </c>
      <c r="N142" s="74">
        <f t="shared" si="134"/>
        <v>-3731.7873442476916</v>
      </c>
      <c r="O142" s="74">
        <f t="shared" si="134"/>
        <v>-3784.0518440671121</v>
      </c>
      <c r="P142" s="74">
        <f t="shared" si="134"/>
        <v>-3837.5949963956209</v>
      </c>
      <c r="Q142" s="74">
        <f t="shared" si="134"/>
        <v>-3892.444649129503</v>
      </c>
      <c r="R142" s="74">
        <f t="shared" si="134"/>
        <v>-3947.050019770571</v>
      </c>
      <c r="S142" s="74">
        <f t="shared" si="134"/>
        <v>-4006.1777538862434</v>
      </c>
      <c r="T142" s="74">
        <f t="shared" si="134"/>
        <v>-4065.1198436899144</v>
      </c>
      <c r="U142" s="74">
        <f t="shared" si="134"/>
        <v>-4125.4857336822515</v>
      </c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6"/>
      <c r="BC142" s="76"/>
      <c r="BD142" s="76"/>
      <c r="BE142" s="82" t="s">
        <v>71</v>
      </c>
      <c r="BF142" s="83"/>
      <c r="BG142" s="102">
        <f t="shared" si="133"/>
        <v>-11499.231222966144</v>
      </c>
      <c r="BH142" s="85">
        <f t="shared" si="133"/>
        <v>-10427.893140006323</v>
      </c>
      <c r="BI142" s="85">
        <f t="shared" si="133"/>
        <v>-10551.891982789532</v>
      </c>
      <c r="BJ142" s="83">
        <f t="shared" si="133"/>
        <v>-10680.047080405056</v>
      </c>
      <c r="BK142" s="86">
        <f>BB142-BB115</f>
        <v>0</v>
      </c>
    </row>
    <row r="143" spans="2:63">
      <c r="B143" s="14"/>
      <c r="C143" s="34"/>
      <c r="D143" s="82" t="s">
        <v>72</v>
      </c>
      <c r="E143" s="83"/>
      <c r="F143" s="84"/>
      <c r="G143" s="74">
        <f t="shared" ref="G143:U143" si="135">+G67-G116</f>
        <v>-4515.9391950721983</v>
      </c>
      <c r="H143" s="74">
        <f t="shared" si="135"/>
        <v>-2873.661824106166</v>
      </c>
      <c r="I143" s="74">
        <f t="shared" si="135"/>
        <v>-3419.7332062982532</v>
      </c>
      <c r="J143" s="74">
        <f t="shared" si="135"/>
        <v>-3521.2366759709985</v>
      </c>
      <c r="K143" s="74">
        <f t="shared" si="135"/>
        <v>-3553.3048221416102</v>
      </c>
      <c r="L143" s="74">
        <f t="shared" si="135"/>
        <v>-3616.3731772929459</v>
      </c>
      <c r="M143" s="74">
        <f t="shared" si="135"/>
        <v>-3681.4326816417342</v>
      </c>
      <c r="N143" s="74">
        <f t="shared" si="135"/>
        <v>-3748.5251796389784</v>
      </c>
      <c r="O143" s="74">
        <f t="shared" si="135"/>
        <v>-3843.8514427710543</v>
      </c>
      <c r="P143" s="74">
        <f t="shared" si="135"/>
        <v>-3917.1608891329597</v>
      </c>
      <c r="Q143" s="74">
        <f t="shared" si="135"/>
        <v>-4016.8332210143271</v>
      </c>
      <c r="R143" s="74">
        <f t="shared" si="135"/>
        <v>-4092.5416459591106</v>
      </c>
      <c r="S143" s="74">
        <f t="shared" si="135"/>
        <v>-4351.0364078738203</v>
      </c>
      <c r="T143" s="74">
        <f t="shared" si="135"/>
        <v>-4281.1542795078458</v>
      </c>
      <c r="U143" s="74">
        <f t="shared" si="135"/>
        <v>-4390.0788603861329</v>
      </c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7">
        <f>+BB141+BB139+BB133+BB130+BB127</f>
        <v>0</v>
      </c>
      <c r="BC143" s="33"/>
      <c r="BD143" s="33"/>
      <c r="BE143" s="82" t="s">
        <v>72</v>
      </c>
      <c r="BF143" s="83"/>
      <c r="BG143" s="102">
        <f t="shared" si="133"/>
        <v>-36766.82009771443</v>
      </c>
      <c r="BH143" s="85">
        <f t="shared" si="133"/>
        <v>-41009.089653366813</v>
      </c>
      <c r="BI143" s="85">
        <f t="shared" si="133"/>
        <v>-44207.064917759832</v>
      </c>
      <c r="BJ143" s="85">
        <f t="shared" si="133"/>
        <v>-37056.51994029199</v>
      </c>
      <c r="BK143" s="87">
        <f>BB143-BB116</f>
        <v>0</v>
      </c>
    </row>
    <row r="144" spans="2:63">
      <c r="B144" s="19"/>
      <c r="C144" s="88"/>
      <c r="D144" s="21"/>
      <c r="E144" s="21"/>
      <c r="F144" s="89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2"/>
      <c r="BD144" s="30"/>
    </row>
    <row r="157" spans="1:21">
      <c r="C157" s="310">
        <v>0.05</v>
      </c>
    </row>
    <row r="158" spans="1:21" s="287" customFormat="1" ht="30">
      <c r="A158" s="291" t="s">
        <v>174</v>
      </c>
      <c r="C158" s="291" t="s">
        <v>175</v>
      </c>
      <c r="G158" s="288">
        <f>+J122</f>
        <v>2013</v>
      </c>
      <c r="H158" s="289">
        <f t="shared" ref="H158:U158" si="136">+K122</f>
        <v>2014</v>
      </c>
      <c r="I158" s="289">
        <f t="shared" si="136"/>
        <v>2015</v>
      </c>
      <c r="J158" s="289">
        <f t="shared" si="136"/>
        <v>2016</v>
      </c>
      <c r="K158" s="289">
        <f t="shared" si="136"/>
        <v>2017</v>
      </c>
      <c r="L158" s="289">
        <f t="shared" si="136"/>
        <v>2018</v>
      </c>
      <c r="M158" s="289">
        <f t="shared" si="136"/>
        <v>2019</v>
      </c>
      <c r="N158" s="289">
        <f t="shared" si="136"/>
        <v>2020</v>
      </c>
      <c r="O158" s="289">
        <f t="shared" si="136"/>
        <v>2021</v>
      </c>
      <c r="P158" s="289">
        <f t="shared" si="136"/>
        <v>2022</v>
      </c>
      <c r="Q158" s="289">
        <f t="shared" si="136"/>
        <v>2023</v>
      </c>
      <c r="R158" s="290">
        <f t="shared" si="136"/>
        <v>2024</v>
      </c>
      <c r="S158" s="287">
        <f t="shared" si="136"/>
        <v>0</v>
      </c>
      <c r="T158" s="287">
        <f t="shared" si="136"/>
        <v>0</v>
      </c>
      <c r="U158" s="287">
        <f t="shared" si="136"/>
        <v>0</v>
      </c>
    </row>
    <row r="159" spans="1:21">
      <c r="A159" s="235">
        <f>+C159/(1+$C$157)^2</f>
        <v>393881.77457912778</v>
      </c>
      <c r="C159" s="235">
        <f>NPV($C$157,G159:R159)</f>
        <v>434254.65647348837</v>
      </c>
      <c r="D159" s="24" t="s">
        <v>155</v>
      </c>
      <c r="E159" s="24"/>
      <c r="F159" s="8"/>
      <c r="G159" s="281">
        <f>+G160+G163+G168</f>
        <v>47314.211688256997</v>
      </c>
      <c r="H159" s="204">
        <f t="shared" ref="H159:R159" si="137">+H160+H163+H168</f>
        <v>47211.540124974112</v>
      </c>
      <c r="I159" s="204">
        <f t="shared" si="137"/>
        <v>47626.930770917723</v>
      </c>
      <c r="J159" s="204">
        <f t="shared" si="137"/>
        <v>48050.585070501984</v>
      </c>
      <c r="K159" s="204">
        <f t="shared" si="137"/>
        <v>48482.667855206921</v>
      </c>
      <c r="L159" s="204">
        <f t="shared" si="137"/>
        <v>48923.347248726241</v>
      </c>
      <c r="M159" s="204">
        <f t="shared" si="137"/>
        <v>49372.794732767434</v>
      </c>
      <c r="N159" s="204">
        <f t="shared" si="137"/>
        <v>49831.185214167461</v>
      </c>
      <c r="O159" s="204">
        <f t="shared" si="137"/>
        <v>50298.697093350253</v>
      </c>
      <c r="P159" s="204">
        <f t="shared" si="137"/>
        <v>50775.512334153042</v>
      </c>
      <c r="Q159" s="204">
        <f t="shared" si="137"/>
        <v>51261.816535048565</v>
      </c>
      <c r="R159" s="205">
        <f t="shared" si="137"/>
        <v>51757.799001791485</v>
      </c>
    </row>
    <row r="160" spans="1:21">
      <c r="A160" s="292">
        <f t="shared" ref="A160:A182" si="138">+C160/(1+$C$157)^2</f>
        <v>183469.6971852612</v>
      </c>
      <c r="C160" s="292">
        <f t="shared" ref="A160:C195" si="139">NPV($C$157,G160:R160)</f>
        <v>202275.34114675049</v>
      </c>
      <c r="E160" s="270" t="s">
        <v>156</v>
      </c>
      <c r="F160" s="269" t="s">
        <v>54</v>
      </c>
      <c r="G160" s="282">
        <f>+G161+G162</f>
        <v>20915.255830069742</v>
      </c>
      <c r="H160" s="277">
        <f t="shared" ref="H160:R160" si="140">+H161+H162</f>
        <v>21278.683758575135</v>
      </c>
      <c r="I160" s="277">
        <f t="shared" si="140"/>
        <v>21649.380245650638</v>
      </c>
      <c r="J160" s="277">
        <f t="shared" si="140"/>
        <v>22027.490662467651</v>
      </c>
      <c r="K160" s="277">
        <f t="shared" si="140"/>
        <v>22413.163287621006</v>
      </c>
      <c r="L160" s="277">
        <f t="shared" si="140"/>
        <v>22806.549365277424</v>
      </c>
      <c r="M160" s="277">
        <f t="shared" si="140"/>
        <v>23207.80316448697</v>
      </c>
      <c r="N160" s="277">
        <f t="shared" si="140"/>
        <v>23617.08203968071</v>
      </c>
      <c r="O160" s="277">
        <f t="shared" si="140"/>
        <v>24034.546492378322</v>
      </c>
      <c r="P160" s="277">
        <f t="shared" si="140"/>
        <v>24460.360234129894</v>
      </c>
      <c r="Q160" s="277">
        <f t="shared" si="140"/>
        <v>24894.690250716485</v>
      </c>
      <c r="R160" s="278">
        <f t="shared" si="140"/>
        <v>25337.706867634821</v>
      </c>
    </row>
    <row r="161" spans="1:18">
      <c r="A161" s="233">
        <f t="shared" si="138"/>
        <v>122394.17540936879</v>
      </c>
      <c r="C161" s="233">
        <f t="shared" si="139"/>
        <v>134939.5783888291</v>
      </c>
      <c r="E161" s="271" t="s">
        <v>157</v>
      </c>
      <c r="F161" s="32" t="s">
        <v>54</v>
      </c>
      <c r="G161" s="249">
        <f>+Margen!J24</f>
        <v>13778.928423936002</v>
      </c>
      <c r="H161" s="216">
        <f>+Margen!K24</f>
        <v>14054.506992414719</v>
      </c>
      <c r="I161" s="216">
        <f>+Margen!L24</f>
        <v>14335.597132263014</v>
      </c>
      <c r="J161" s="216">
        <f>+Margen!M24</f>
        <v>14622.309074908275</v>
      </c>
      <c r="K161" s="216">
        <f>+Margen!N24</f>
        <v>14914.755256406439</v>
      </c>
      <c r="L161" s="216">
        <f>+Margen!O24</f>
        <v>15213.05036153457</v>
      </c>
      <c r="M161" s="216">
        <f>+Margen!P24</f>
        <v>15517.311368765257</v>
      </c>
      <c r="N161" s="216">
        <f>+Margen!Q24</f>
        <v>15827.657596140565</v>
      </c>
      <c r="O161" s="216">
        <f>+Margen!R24</f>
        <v>16144.210748063375</v>
      </c>
      <c r="P161" s="216">
        <f>+Margen!S24</f>
        <v>16467.094963024647</v>
      </c>
      <c r="Q161" s="216">
        <f>+Margen!T24</f>
        <v>16796.436862285133</v>
      </c>
      <c r="R161" s="242">
        <f>+Margen!U24</f>
        <v>17132.36559953084</v>
      </c>
    </row>
    <row r="162" spans="1:18">
      <c r="A162" s="293">
        <f t="shared" si="138"/>
        <v>61075.521775892397</v>
      </c>
      <c r="C162" s="293">
        <f t="shared" si="139"/>
        <v>67335.762757921373</v>
      </c>
      <c r="E162" s="272" t="s">
        <v>158</v>
      </c>
      <c r="F162" s="89" t="s">
        <v>54</v>
      </c>
      <c r="G162" s="283">
        <f>+J112</f>
        <v>7136.3274061337406</v>
      </c>
      <c r="H162" s="273">
        <f t="shared" ref="H162:R162" si="141">+K112</f>
        <v>7224.1767661604154</v>
      </c>
      <c r="I162" s="273">
        <f t="shared" si="141"/>
        <v>7313.7831133876243</v>
      </c>
      <c r="J162" s="273">
        <f t="shared" si="141"/>
        <v>7405.1815875593747</v>
      </c>
      <c r="K162" s="273">
        <f t="shared" si="141"/>
        <v>7498.4080312145652</v>
      </c>
      <c r="L162" s="273">
        <f t="shared" si="141"/>
        <v>7593.4990037428543</v>
      </c>
      <c r="M162" s="273">
        <f t="shared" si="141"/>
        <v>7690.4917957217112</v>
      </c>
      <c r="N162" s="273">
        <f t="shared" si="141"/>
        <v>7789.4244435401461</v>
      </c>
      <c r="O162" s="273">
        <f t="shared" si="141"/>
        <v>7890.3357443149489</v>
      </c>
      <c r="P162" s="273">
        <f t="shared" si="141"/>
        <v>7993.2652711052478</v>
      </c>
      <c r="Q162" s="273">
        <f t="shared" si="141"/>
        <v>8098.2533884313534</v>
      </c>
      <c r="R162" s="279">
        <f t="shared" si="141"/>
        <v>8205.3412681039808</v>
      </c>
    </row>
    <row r="163" spans="1:18">
      <c r="A163" s="294">
        <f t="shared" si="138"/>
        <v>210412.07739386658</v>
      </c>
      <c r="C163" s="294">
        <f t="shared" si="139"/>
        <v>231979.31532673791</v>
      </c>
      <c r="E163" s="274" t="s">
        <v>163</v>
      </c>
      <c r="F163" s="275" t="s">
        <v>54</v>
      </c>
      <c r="G163" s="284">
        <f>SUM(G164:G167)</f>
        <v>26398.955858187255</v>
      </c>
      <c r="H163" s="276">
        <f t="shared" ref="H163:R163" si="142">SUM(H164:H167)</f>
        <v>25932.856366398973</v>
      </c>
      <c r="I163" s="276">
        <f t="shared" si="142"/>
        <v>25977.550525267085</v>
      </c>
      <c r="J163" s="276">
        <f t="shared" si="142"/>
        <v>26023.094408034329</v>
      </c>
      <c r="K163" s="276">
        <f t="shared" si="142"/>
        <v>26069.504567585915</v>
      </c>
      <c r="L163" s="276">
        <f t="shared" si="142"/>
        <v>26116.797883448817</v>
      </c>
      <c r="M163" s="276">
        <f t="shared" si="142"/>
        <v>26164.991568280464</v>
      </c>
      <c r="N163" s="276">
        <f t="shared" si="142"/>
        <v>26214.103174486747</v>
      </c>
      <c r="O163" s="276">
        <f t="shared" si="142"/>
        <v>26264.150600971931</v>
      </c>
      <c r="P163" s="276">
        <f t="shared" si="142"/>
        <v>26315.152100023151</v>
      </c>
      <c r="Q163" s="276">
        <f t="shared" si="142"/>
        <v>26367.126284332084</v>
      </c>
      <c r="R163" s="280">
        <f t="shared" si="142"/>
        <v>26420.092134156661</v>
      </c>
    </row>
    <row r="164" spans="1:18">
      <c r="A164" s="233">
        <f t="shared" si="138"/>
        <v>175597.69848342694</v>
      </c>
      <c r="C164" s="233">
        <f t="shared" si="139"/>
        <v>193596.46257797821</v>
      </c>
      <c r="E164" s="271" t="s">
        <v>160</v>
      </c>
      <c r="F164" s="32" t="s">
        <v>54</v>
      </c>
      <c r="G164" s="249">
        <f>+J100</f>
        <v>22204.677266187253</v>
      </c>
      <c r="H164" s="216">
        <f t="shared" ref="H164:R164" si="143">+K100</f>
        <v>21712.599402558972</v>
      </c>
      <c r="I164" s="216">
        <f t="shared" si="143"/>
        <v>21730.795622150283</v>
      </c>
      <c r="J164" s="216">
        <f t="shared" si="143"/>
        <v>21749.311606855194</v>
      </c>
      <c r="K164" s="216">
        <f t="shared" si="143"/>
        <v>21768.153310383197</v>
      </c>
      <c r="L164" s="216">
        <f t="shared" si="143"/>
        <v>21787.326801102045</v>
      </c>
      <c r="M164" s="216">
        <f t="shared" si="143"/>
        <v>21806.838264286755</v>
      </c>
      <c r="N164" s="216">
        <f t="shared" si="143"/>
        <v>21826.694004413162</v>
      </c>
      <c r="O164" s="216">
        <f t="shared" si="143"/>
        <v>21846.900447496875</v>
      </c>
      <c r="P164" s="216">
        <f t="shared" si="143"/>
        <v>21867.464143478595</v>
      </c>
      <c r="Q164" s="216">
        <f t="shared" si="143"/>
        <v>21888.391768656638</v>
      </c>
      <c r="R164" s="242">
        <f t="shared" si="143"/>
        <v>21909.690128167706</v>
      </c>
    </row>
    <row r="165" spans="1:18">
      <c r="A165" s="233">
        <f t="shared" si="138"/>
        <v>11537.912463175793</v>
      </c>
      <c r="C165" s="233">
        <f t="shared" si="139"/>
        <v>12720.548490651312</v>
      </c>
      <c r="E165" s="271" t="s">
        <v>159</v>
      </c>
      <c r="F165" s="32" t="s">
        <v>54</v>
      </c>
      <c r="G165" s="249">
        <f>+J103</f>
        <v>1298.9185920000002</v>
      </c>
      <c r="H165" s="216">
        <f t="shared" ref="H165:R165" si="144">+K103</f>
        <v>1324.8969638400001</v>
      </c>
      <c r="I165" s="216">
        <f t="shared" si="144"/>
        <v>1351.3949031168002</v>
      </c>
      <c r="J165" s="216">
        <f t="shared" si="144"/>
        <v>1378.4228011791361</v>
      </c>
      <c r="K165" s="216">
        <f t="shared" si="144"/>
        <v>1405.9912572027188</v>
      </c>
      <c r="L165" s="216">
        <f t="shared" si="144"/>
        <v>1434.1110823467729</v>
      </c>
      <c r="M165" s="216">
        <f t="shared" si="144"/>
        <v>1462.7933039937084</v>
      </c>
      <c r="N165" s="216">
        <f t="shared" si="144"/>
        <v>1492.0491700735824</v>
      </c>
      <c r="O165" s="216">
        <f t="shared" si="144"/>
        <v>1521.8901534750541</v>
      </c>
      <c r="P165" s="216">
        <f t="shared" si="144"/>
        <v>1552.3279565445553</v>
      </c>
      <c r="Q165" s="216">
        <f t="shared" si="144"/>
        <v>1583.3745156754464</v>
      </c>
      <c r="R165" s="242">
        <f t="shared" si="144"/>
        <v>1615.0420059889552</v>
      </c>
    </row>
    <row r="166" spans="1:18">
      <c r="A166" s="233">
        <f t="shared" si="138"/>
        <v>23276.466447263876</v>
      </c>
      <c r="C166" s="233">
        <f t="shared" si="139"/>
        <v>25662.304258108423</v>
      </c>
      <c r="E166" s="271" t="s">
        <v>161</v>
      </c>
      <c r="F166" s="32" t="s">
        <v>54</v>
      </c>
      <c r="G166" s="249">
        <f>+J106</f>
        <v>2895.36</v>
      </c>
      <c r="H166" s="216">
        <f t="shared" ref="H166:R166" si="145">+K106</f>
        <v>2895.36</v>
      </c>
      <c r="I166" s="216">
        <f t="shared" si="145"/>
        <v>2895.36</v>
      </c>
      <c r="J166" s="216">
        <f t="shared" si="145"/>
        <v>2895.36</v>
      </c>
      <c r="K166" s="216">
        <f t="shared" si="145"/>
        <v>2895.36</v>
      </c>
      <c r="L166" s="216">
        <f t="shared" si="145"/>
        <v>2895.36</v>
      </c>
      <c r="M166" s="216">
        <f t="shared" si="145"/>
        <v>2895.36</v>
      </c>
      <c r="N166" s="216">
        <f t="shared" si="145"/>
        <v>2895.36</v>
      </c>
      <c r="O166" s="216">
        <f t="shared" si="145"/>
        <v>2895.36</v>
      </c>
      <c r="P166" s="216">
        <f t="shared" si="145"/>
        <v>2895.36</v>
      </c>
      <c r="Q166" s="216">
        <f t="shared" si="145"/>
        <v>2895.36</v>
      </c>
      <c r="R166" s="242">
        <f t="shared" si="145"/>
        <v>2895.36</v>
      </c>
    </row>
    <row r="167" spans="1:18">
      <c r="A167" s="293">
        <f t="shared" si="138"/>
        <v>0</v>
      </c>
      <c r="C167" s="293">
        <f t="shared" si="139"/>
        <v>0</v>
      </c>
      <c r="E167" s="272" t="s">
        <v>168</v>
      </c>
      <c r="F167" s="89" t="s">
        <v>54</v>
      </c>
      <c r="G167" s="283">
        <v>0</v>
      </c>
      <c r="H167" s="273">
        <v>0</v>
      </c>
      <c r="I167" s="273">
        <v>0</v>
      </c>
      <c r="J167" s="273">
        <v>0</v>
      </c>
      <c r="K167" s="273">
        <v>0</v>
      </c>
      <c r="L167" s="273">
        <v>0</v>
      </c>
      <c r="M167" s="273">
        <v>0</v>
      </c>
      <c r="N167" s="273">
        <v>0</v>
      </c>
      <c r="O167" s="273">
        <v>0</v>
      </c>
      <c r="P167" s="273">
        <v>0</v>
      </c>
      <c r="Q167" s="273">
        <v>0</v>
      </c>
      <c r="R167" s="279">
        <v>0</v>
      </c>
    </row>
    <row r="168" spans="1:18">
      <c r="A168" s="294">
        <f t="shared" si="138"/>
        <v>0</v>
      </c>
      <c r="C168" s="294">
        <f t="shared" si="139"/>
        <v>0</v>
      </c>
      <c r="E168" s="274" t="s">
        <v>165</v>
      </c>
      <c r="F168" s="275" t="s">
        <v>54</v>
      </c>
      <c r="G168" s="284">
        <f>SUM(G169:G170)</f>
        <v>0</v>
      </c>
      <c r="H168" s="276">
        <f t="shared" ref="H168:R168" si="146">SUM(H169:H170)</f>
        <v>0</v>
      </c>
      <c r="I168" s="276">
        <f t="shared" si="146"/>
        <v>0</v>
      </c>
      <c r="J168" s="276">
        <f t="shared" si="146"/>
        <v>0</v>
      </c>
      <c r="K168" s="276">
        <f t="shared" si="146"/>
        <v>0</v>
      </c>
      <c r="L168" s="276">
        <f t="shared" si="146"/>
        <v>0</v>
      </c>
      <c r="M168" s="276">
        <f t="shared" si="146"/>
        <v>0</v>
      </c>
      <c r="N168" s="276">
        <f t="shared" si="146"/>
        <v>0</v>
      </c>
      <c r="O168" s="276">
        <f t="shared" si="146"/>
        <v>0</v>
      </c>
      <c r="P168" s="276">
        <f t="shared" si="146"/>
        <v>0</v>
      </c>
      <c r="Q168" s="276">
        <f t="shared" si="146"/>
        <v>0</v>
      </c>
      <c r="R168" s="280">
        <f t="shared" si="146"/>
        <v>0</v>
      </c>
    </row>
    <row r="169" spans="1:18">
      <c r="A169" s="233">
        <f t="shared" si="138"/>
        <v>0</v>
      </c>
      <c r="C169" s="233">
        <f t="shared" si="139"/>
        <v>0</v>
      </c>
      <c r="E169" s="271" t="s">
        <v>166</v>
      </c>
      <c r="F169" s="32" t="s">
        <v>54</v>
      </c>
      <c r="G169" s="249">
        <v>0</v>
      </c>
      <c r="H169" s="216">
        <v>0</v>
      </c>
      <c r="I169" s="216">
        <v>0</v>
      </c>
      <c r="J169" s="216">
        <v>0</v>
      </c>
      <c r="K169" s="216">
        <v>0</v>
      </c>
      <c r="L169" s="216">
        <v>0</v>
      </c>
      <c r="M169" s="216">
        <v>0</v>
      </c>
      <c r="N169" s="216">
        <v>0</v>
      </c>
      <c r="O169" s="216">
        <v>0</v>
      </c>
      <c r="P169" s="216">
        <v>0</v>
      </c>
      <c r="Q169" s="216">
        <v>0</v>
      </c>
      <c r="R169" s="242">
        <v>0</v>
      </c>
    </row>
    <row r="170" spans="1:18">
      <c r="A170" s="293">
        <f t="shared" si="138"/>
        <v>0</v>
      </c>
      <c r="C170" s="293">
        <f t="shared" si="139"/>
        <v>0</v>
      </c>
      <c r="E170" s="272" t="s">
        <v>167</v>
      </c>
      <c r="F170" s="89" t="s">
        <v>54</v>
      </c>
      <c r="G170" s="283">
        <v>0</v>
      </c>
      <c r="H170" s="273">
        <v>0</v>
      </c>
      <c r="I170" s="273">
        <v>0</v>
      </c>
      <c r="J170" s="273">
        <v>0</v>
      </c>
      <c r="K170" s="273">
        <v>0</v>
      </c>
      <c r="L170" s="273">
        <v>0</v>
      </c>
      <c r="M170" s="273">
        <v>0</v>
      </c>
      <c r="N170" s="273">
        <v>0</v>
      </c>
      <c r="O170" s="273">
        <v>0</v>
      </c>
      <c r="P170" s="273">
        <v>0</v>
      </c>
      <c r="Q170" s="273">
        <v>0</v>
      </c>
      <c r="R170" s="279">
        <v>0</v>
      </c>
    </row>
    <row r="171" spans="1:18">
      <c r="A171" s="257">
        <f t="shared" si="138"/>
        <v>352014.57926627429</v>
      </c>
      <c r="C171" s="257">
        <f t="shared" si="139"/>
        <v>388096.07364106743</v>
      </c>
      <c r="D171" s="24" t="s">
        <v>164</v>
      </c>
      <c r="E171" s="24"/>
      <c r="F171" s="8"/>
      <c r="G171" s="281">
        <f>+G172+G175+G180</f>
        <v>43900.046588349993</v>
      </c>
      <c r="H171" s="204">
        <f t="shared" ref="H171:R171" si="147">+H172+H175+H180</f>
        <v>43489.728310417784</v>
      </c>
      <c r="I171" s="204">
        <f t="shared" si="147"/>
        <v>43560.960461361763</v>
      </c>
      <c r="J171" s="204">
        <f t="shared" si="147"/>
        <v>43632.843313951969</v>
      </c>
      <c r="K171" s="204">
        <f t="shared" si="147"/>
        <v>43705.387419161503</v>
      </c>
      <c r="L171" s="204">
        <f t="shared" si="147"/>
        <v>43752.445444420628</v>
      </c>
      <c r="M171" s="204">
        <f t="shared" si="147"/>
        <v>43824.322474869216</v>
      </c>
      <c r="N171" s="204">
        <f t="shared" si="147"/>
        <v>43872.694397012558</v>
      </c>
      <c r="O171" s="204">
        <f t="shared" si="147"/>
        <v>43947.944699327774</v>
      </c>
      <c r="P171" s="204">
        <f t="shared" si="147"/>
        <v>43843.380963254582</v>
      </c>
      <c r="Q171" s="204">
        <f t="shared" si="147"/>
        <v>44070.225393255598</v>
      </c>
      <c r="R171" s="205">
        <f t="shared" si="147"/>
        <v>44121.354541874505</v>
      </c>
    </row>
    <row r="172" spans="1:18">
      <c r="A172" s="292">
        <f t="shared" si="138"/>
        <v>111632.75485145411</v>
      </c>
      <c r="C172" s="292">
        <f t="shared" si="139"/>
        <v>123075.11222372817</v>
      </c>
      <c r="E172" s="270" t="s">
        <v>156</v>
      </c>
      <c r="F172" s="269" t="s">
        <v>54</v>
      </c>
      <c r="G172" s="282">
        <f>+G173+G174</f>
        <v>13886</v>
      </c>
      <c r="H172" s="277">
        <f t="shared" ref="H172:R172" si="148">+H173+H174</f>
        <v>13886</v>
      </c>
      <c r="I172" s="277">
        <f t="shared" si="148"/>
        <v>13886</v>
      </c>
      <c r="J172" s="277">
        <f t="shared" si="148"/>
        <v>13886</v>
      </c>
      <c r="K172" s="277">
        <f t="shared" si="148"/>
        <v>13886</v>
      </c>
      <c r="L172" s="277">
        <f t="shared" si="148"/>
        <v>13886</v>
      </c>
      <c r="M172" s="277">
        <f t="shared" si="148"/>
        <v>13886</v>
      </c>
      <c r="N172" s="277">
        <f t="shared" si="148"/>
        <v>13886</v>
      </c>
      <c r="O172" s="277">
        <f t="shared" si="148"/>
        <v>13886</v>
      </c>
      <c r="P172" s="277">
        <f t="shared" si="148"/>
        <v>13886</v>
      </c>
      <c r="Q172" s="277">
        <f t="shared" si="148"/>
        <v>13886</v>
      </c>
      <c r="R172" s="278">
        <f t="shared" si="148"/>
        <v>13886</v>
      </c>
    </row>
    <row r="173" spans="1:18">
      <c r="A173" s="233">
        <f t="shared" si="138"/>
        <v>105313.9196711831</v>
      </c>
      <c r="C173" s="233">
        <f t="shared" si="139"/>
        <v>116108.59643747937</v>
      </c>
      <c r="E173" s="271" t="s">
        <v>192</v>
      </c>
      <c r="F173" s="32" t="s">
        <v>54</v>
      </c>
      <c r="G173" s="311">
        <v>13100</v>
      </c>
      <c r="H173" s="216">
        <f>+G173</f>
        <v>13100</v>
      </c>
      <c r="I173" s="216">
        <f>+H173</f>
        <v>13100</v>
      </c>
      <c r="J173" s="216">
        <f t="shared" ref="J173:R173" si="149">+I173</f>
        <v>13100</v>
      </c>
      <c r="K173" s="216">
        <f t="shared" si="149"/>
        <v>13100</v>
      </c>
      <c r="L173" s="216">
        <f t="shared" si="149"/>
        <v>13100</v>
      </c>
      <c r="M173" s="216">
        <f t="shared" si="149"/>
        <v>13100</v>
      </c>
      <c r="N173" s="216">
        <f t="shared" si="149"/>
        <v>13100</v>
      </c>
      <c r="O173" s="216">
        <f t="shared" si="149"/>
        <v>13100</v>
      </c>
      <c r="P173" s="216">
        <f t="shared" si="149"/>
        <v>13100</v>
      </c>
      <c r="Q173" s="216">
        <f t="shared" si="149"/>
        <v>13100</v>
      </c>
      <c r="R173" s="242">
        <f t="shared" si="149"/>
        <v>13100</v>
      </c>
    </row>
    <row r="174" spans="1:18">
      <c r="A174" s="293">
        <f t="shared" si="138"/>
        <v>6318.8351802709867</v>
      </c>
      <c r="C174" s="293">
        <f t="shared" si="139"/>
        <v>6966.5157862487631</v>
      </c>
      <c r="D174" s="202">
        <v>0.06</v>
      </c>
      <c r="E174" s="272" t="s">
        <v>193</v>
      </c>
      <c r="F174" s="89" t="s">
        <v>54</v>
      </c>
      <c r="G174" s="283">
        <f>+G173*$D$174</f>
        <v>786</v>
      </c>
      <c r="H174" s="273">
        <f t="shared" ref="H174:R174" si="150">+H173*$D$174</f>
        <v>786</v>
      </c>
      <c r="I174" s="273">
        <f t="shared" si="150"/>
        <v>786</v>
      </c>
      <c r="J174" s="273">
        <f t="shared" si="150"/>
        <v>786</v>
      </c>
      <c r="K174" s="273">
        <f t="shared" si="150"/>
        <v>786</v>
      </c>
      <c r="L174" s="273">
        <f t="shared" si="150"/>
        <v>786</v>
      </c>
      <c r="M174" s="273">
        <f t="shared" si="150"/>
        <v>786</v>
      </c>
      <c r="N174" s="273">
        <f t="shared" si="150"/>
        <v>786</v>
      </c>
      <c r="O174" s="273">
        <f t="shared" si="150"/>
        <v>786</v>
      </c>
      <c r="P174" s="273">
        <f t="shared" si="150"/>
        <v>786</v>
      </c>
      <c r="Q174" s="273">
        <f t="shared" si="150"/>
        <v>786</v>
      </c>
      <c r="R174" s="279">
        <f t="shared" si="150"/>
        <v>786</v>
      </c>
    </row>
    <row r="175" spans="1:18">
      <c r="A175" s="294">
        <f t="shared" si="138"/>
        <v>209768.14697020568</v>
      </c>
      <c r="C175" s="294">
        <f t="shared" si="139"/>
        <v>231269.38203465176</v>
      </c>
      <c r="E175" s="274" t="s">
        <v>163</v>
      </c>
      <c r="F175" s="275" t="s">
        <v>54</v>
      </c>
      <c r="G175" s="284">
        <f>SUM(G176:G179)</f>
        <v>26421.43885648757</v>
      </c>
      <c r="H175" s="276">
        <f t="shared" ref="H175:R175" si="151">SUM(H176:H179)</f>
        <v>25966.361548967729</v>
      </c>
      <c r="I175" s="276">
        <f t="shared" si="151"/>
        <v>25995.135479318727</v>
      </c>
      <c r="J175" s="276">
        <f t="shared" si="151"/>
        <v>26023.937114710894</v>
      </c>
      <c r="K175" s="276">
        <f t="shared" si="151"/>
        <v>26052.766732194628</v>
      </c>
      <c r="L175" s="276">
        <f t="shared" si="151"/>
        <v>26056.998284744881</v>
      </c>
      <c r="M175" s="276">
        <f t="shared" si="151"/>
        <v>26085.425675543127</v>
      </c>
      <c r="N175" s="276">
        <f t="shared" si="151"/>
        <v>26089.714602601922</v>
      </c>
      <c r="O175" s="276">
        <f t="shared" si="151"/>
        <v>26118.658974783393</v>
      </c>
      <c r="P175" s="276">
        <f t="shared" si="151"/>
        <v>25970.293446035572</v>
      </c>
      <c r="Q175" s="276">
        <f t="shared" si="151"/>
        <v>26151.091848514156</v>
      </c>
      <c r="R175" s="280">
        <f t="shared" si="151"/>
        <v>26155.499007452778</v>
      </c>
    </row>
    <row r="176" spans="1:18">
      <c r="A176" s="233">
        <f t="shared" si="138"/>
        <v>178003.33272330248</v>
      </c>
      <c r="C176" s="233">
        <f t="shared" si="139"/>
        <v>196248.674327441</v>
      </c>
      <c r="E176" s="271" t="s">
        <v>160</v>
      </c>
      <c r="F176" s="32" t="s">
        <v>54</v>
      </c>
      <c r="G176" s="249">
        <f>+J51</f>
        <v>22055.707141497747</v>
      </c>
      <c r="H176" s="216">
        <f t="shared" ref="H176:R176" si="152">+K51</f>
        <v>22079.89840459653</v>
      </c>
      <c r="I176" s="216">
        <f t="shared" si="152"/>
        <v>22104.117098429128</v>
      </c>
      <c r="J176" s="216">
        <f t="shared" si="152"/>
        <v>22128.363497302893</v>
      </c>
      <c r="K176" s="216">
        <f t="shared" si="152"/>
        <v>22152.63787826823</v>
      </c>
      <c r="L176" s="216">
        <f t="shared" si="152"/>
        <v>22155.492331429679</v>
      </c>
      <c r="M176" s="216">
        <f t="shared" si="152"/>
        <v>22179.823518839126</v>
      </c>
      <c r="N176" s="216">
        <f t="shared" si="152"/>
        <v>22182.735346509122</v>
      </c>
      <c r="O176" s="216">
        <f t="shared" si="152"/>
        <v>22207.124482172192</v>
      </c>
      <c r="P176" s="216">
        <f t="shared" si="152"/>
        <v>22074.971242365173</v>
      </c>
      <c r="Q176" s="216">
        <f t="shared" si="152"/>
        <v>22234.543086254955</v>
      </c>
      <c r="R176" s="242">
        <f t="shared" si="152"/>
        <v>22237.573145804778</v>
      </c>
    </row>
    <row r="177" spans="1:18">
      <c r="A177" s="233">
        <f t="shared" si="138"/>
        <v>9172.5390835361977</v>
      </c>
      <c r="C177" s="233">
        <f t="shared" si="139"/>
        <v>10112.724339598659</v>
      </c>
      <c r="E177" s="271" t="s">
        <v>159</v>
      </c>
      <c r="F177" s="32" t="s">
        <v>54</v>
      </c>
      <c r="G177" s="249">
        <f>+J54</f>
        <v>1131.9756975936002</v>
      </c>
      <c r="H177" s="216">
        <f t="shared" ref="H177:R177" si="153">+K54</f>
        <v>1134.7298963711999</v>
      </c>
      <c r="I177" s="216">
        <f t="shared" si="153"/>
        <v>1136.5660288896001</v>
      </c>
      <c r="J177" s="216">
        <f t="shared" si="153"/>
        <v>1138.4021614080002</v>
      </c>
      <c r="K177" s="216">
        <f t="shared" si="153"/>
        <v>1140.2382939264003</v>
      </c>
      <c r="L177" s="216">
        <f t="shared" si="153"/>
        <v>1141.6153933152002</v>
      </c>
      <c r="M177" s="216">
        <f t="shared" si="153"/>
        <v>1142.9924927040001</v>
      </c>
      <c r="N177" s="216">
        <f t="shared" si="153"/>
        <v>1144.3695920928001</v>
      </c>
      <c r="O177" s="216">
        <f t="shared" si="153"/>
        <v>1146.2057246111999</v>
      </c>
      <c r="P177" s="216">
        <f t="shared" si="153"/>
        <v>1147.1237908703999</v>
      </c>
      <c r="Q177" s="216">
        <f t="shared" si="153"/>
        <v>1148.5008902592001</v>
      </c>
      <c r="R177" s="242">
        <f t="shared" si="153"/>
        <v>1149.8779896480003</v>
      </c>
    </row>
    <row r="178" spans="1:18">
      <c r="A178" s="233">
        <f t="shared" si="138"/>
        <v>22173.536907544789</v>
      </c>
      <c r="C178" s="233">
        <f t="shared" si="139"/>
        <v>24446.324440568129</v>
      </c>
      <c r="E178" s="271" t="s">
        <v>161</v>
      </c>
      <c r="F178" s="32" t="s">
        <v>54</v>
      </c>
      <c r="G178" s="249">
        <f>+J57</f>
        <v>2749.0141439999993</v>
      </c>
      <c r="H178" s="216">
        <f t="shared" ref="H178:R178" si="154">+K57</f>
        <v>2751.7332479999995</v>
      </c>
      <c r="I178" s="216">
        <f t="shared" si="154"/>
        <v>2754.4523519999993</v>
      </c>
      <c r="J178" s="216">
        <f t="shared" si="154"/>
        <v>2757.171456</v>
      </c>
      <c r="K178" s="216">
        <f t="shared" si="154"/>
        <v>2759.8905599999998</v>
      </c>
      <c r="L178" s="216">
        <f t="shared" si="154"/>
        <v>2759.8905599999998</v>
      </c>
      <c r="M178" s="216">
        <f t="shared" si="154"/>
        <v>2762.6096640000001</v>
      </c>
      <c r="N178" s="216">
        <f t="shared" si="154"/>
        <v>2762.6096640000001</v>
      </c>
      <c r="O178" s="216">
        <f t="shared" si="154"/>
        <v>2765.3287680000003</v>
      </c>
      <c r="P178" s="216">
        <f t="shared" si="154"/>
        <v>2748.1984127999995</v>
      </c>
      <c r="Q178" s="216">
        <f t="shared" si="154"/>
        <v>2768.0478720000001</v>
      </c>
      <c r="R178" s="242">
        <f t="shared" si="154"/>
        <v>2768.0478720000001</v>
      </c>
    </row>
    <row r="179" spans="1:18">
      <c r="A179" s="293">
        <f t="shared" si="138"/>
        <v>418.73825582224288</v>
      </c>
      <c r="C179" s="293">
        <f t="shared" si="139"/>
        <v>461.65892704402279</v>
      </c>
      <c r="E179" s="272" t="s">
        <v>162</v>
      </c>
      <c r="F179" s="89" t="s">
        <v>54</v>
      </c>
      <c r="G179" s="283">
        <f>+J60</f>
        <v>484.74187339622392</v>
      </c>
      <c r="H179" s="273">
        <f t="shared" ref="H179:R179" si="155">+K60</f>
        <v>0</v>
      </c>
      <c r="I179" s="273">
        <f t="shared" si="155"/>
        <v>0</v>
      </c>
      <c r="J179" s="273">
        <f t="shared" si="155"/>
        <v>0</v>
      </c>
      <c r="K179" s="273">
        <f t="shared" si="155"/>
        <v>0</v>
      </c>
      <c r="L179" s="273">
        <f t="shared" si="155"/>
        <v>0</v>
      </c>
      <c r="M179" s="273">
        <f t="shared" si="155"/>
        <v>0</v>
      </c>
      <c r="N179" s="273">
        <f t="shared" si="155"/>
        <v>0</v>
      </c>
      <c r="O179" s="273">
        <f t="shared" si="155"/>
        <v>0</v>
      </c>
      <c r="P179" s="273">
        <f t="shared" si="155"/>
        <v>0</v>
      </c>
      <c r="Q179" s="273">
        <f t="shared" si="155"/>
        <v>0</v>
      </c>
      <c r="R179" s="279">
        <f t="shared" si="155"/>
        <v>0</v>
      </c>
    </row>
    <row r="180" spans="1:18">
      <c r="A180" s="294">
        <f t="shared" si="138"/>
        <v>30613.677444614499</v>
      </c>
      <c r="C180" s="294">
        <f t="shared" si="139"/>
        <v>33751.579382687487</v>
      </c>
      <c r="E180" s="274" t="s">
        <v>165</v>
      </c>
      <c r="F180" s="275" t="s">
        <v>54</v>
      </c>
      <c r="G180" s="284">
        <f>SUM(G181:G182)</f>
        <v>3592.6077318624248</v>
      </c>
      <c r="H180" s="276">
        <f t="shared" ref="H180:R180" si="156">SUM(H181:H182)</f>
        <v>3637.3667614500487</v>
      </c>
      <c r="I180" s="276">
        <f t="shared" si="156"/>
        <v>3679.8249820430347</v>
      </c>
      <c r="J180" s="276">
        <f t="shared" si="156"/>
        <v>3722.9061992410798</v>
      </c>
      <c r="K180" s="276">
        <f t="shared" si="156"/>
        <v>3766.6206869668736</v>
      </c>
      <c r="L180" s="276">
        <f t="shared" si="156"/>
        <v>3809.4471596757421</v>
      </c>
      <c r="M180" s="276">
        <f t="shared" si="156"/>
        <v>3852.8967993260903</v>
      </c>
      <c r="N180" s="276">
        <f t="shared" si="156"/>
        <v>3896.9797944106431</v>
      </c>
      <c r="O180" s="276">
        <f t="shared" si="156"/>
        <v>3943.2857245443779</v>
      </c>
      <c r="P180" s="276">
        <f t="shared" si="156"/>
        <v>3987.0875172190044</v>
      </c>
      <c r="Q180" s="276">
        <f t="shared" si="156"/>
        <v>4033.133544741439</v>
      </c>
      <c r="R180" s="280">
        <f t="shared" si="156"/>
        <v>4079.8555344217298</v>
      </c>
    </row>
    <row r="181" spans="1:18">
      <c r="A181" s="233">
        <f t="shared" si="138"/>
        <v>25146.346696221412</v>
      </c>
      <c r="C181" s="233">
        <f t="shared" si="139"/>
        <v>27723.847232584107</v>
      </c>
      <c r="E181" s="271" t="s">
        <v>166</v>
      </c>
      <c r="F181" s="32" t="s">
        <v>54</v>
      </c>
      <c r="G181" s="249">
        <f>+J63</f>
        <v>2917.888825622425</v>
      </c>
      <c r="H181" s="216">
        <f t="shared" ref="H181:R181" si="157">+K63</f>
        <v>2961.0062033700488</v>
      </c>
      <c r="I181" s="216">
        <f t="shared" si="157"/>
        <v>3002.3699894030342</v>
      </c>
      <c r="J181" s="216">
        <f t="shared" si="157"/>
        <v>3044.3567720410797</v>
      </c>
      <c r="K181" s="216">
        <f t="shared" si="157"/>
        <v>3086.9768252068734</v>
      </c>
      <c r="L181" s="216">
        <f t="shared" si="157"/>
        <v>3128.9824719957419</v>
      </c>
      <c r="M181" s="216">
        <f t="shared" si="157"/>
        <v>3171.61128572609</v>
      </c>
      <c r="N181" s="216">
        <f t="shared" si="157"/>
        <v>3214.8734548906432</v>
      </c>
      <c r="O181" s="216">
        <f t="shared" si="157"/>
        <v>3260.0849504643779</v>
      </c>
      <c r="P181" s="216">
        <f t="shared" si="157"/>
        <v>3303.3395258590044</v>
      </c>
      <c r="Q181" s="216">
        <f t="shared" si="157"/>
        <v>3348.5647274614389</v>
      </c>
      <c r="R181" s="242">
        <f t="shared" si="157"/>
        <v>3394.4658912217296</v>
      </c>
    </row>
    <row r="182" spans="1:18">
      <c r="A182" s="293">
        <f t="shared" si="138"/>
        <v>5467.3307483930803</v>
      </c>
      <c r="C182" s="293">
        <f t="shared" si="139"/>
        <v>6027.7321501033712</v>
      </c>
      <c r="E182" s="272" t="s">
        <v>167</v>
      </c>
      <c r="F182" s="89" t="s">
        <v>54</v>
      </c>
      <c r="G182" s="283">
        <f>+J65</f>
        <v>674.71890624000002</v>
      </c>
      <c r="H182" s="273">
        <f t="shared" ref="H182:R182" si="158">+K65</f>
        <v>676.36055807999992</v>
      </c>
      <c r="I182" s="273">
        <f t="shared" si="158"/>
        <v>677.45499264000023</v>
      </c>
      <c r="J182" s="273">
        <f t="shared" si="158"/>
        <v>678.54942720000008</v>
      </c>
      <c r="K182" s="273">
        <f t="shared" si="158"/>
        <v>679.64386176000005</v>
      </c>
      <c r="L182" s="273">
        <f t="shared" si="158"/>
        <v>680.46468768000011</v>
      </c>
      <c r="M182" s="273">
        <f t="shared" si="158"/>
        <v>681.28551360000006</v>
      </c>
      <c r="N182" s="273">
        <f t="shared" si="158"/>
        <v>682.10633952000001</v>
      </c>
      <c r="O182" s="273">
        <f t="shared" si="158"/>
        <v>683.20077407999997</v>
      </c>
      <c r="P182" s="273">
        <f t="shared" si="158"/>
        <v>683.74799136000001</v>
      </c>
      <c r="Q182" s="273">
        <f t="shared" si="158"/>
        <v>684.56881728000008</v>
      </c>
      <c r="R182" s="279">
        <f t="shared" si="158"/>
        <v>685.38964320000002</v>
      </c>
    </row>
    <row r="183" spans="1:18">
      <c r="A183" s="257">
        <f>+A184+A187+A192</f>
        <v>41867.195312853502</v>
      </c>
      <c r="C183" s="257">
        <f>+C184+C187+C192</f>
        <v>46158.582832420994</v>
      </c>
      <c r="D183" s="24" t="s">
        <v>169</v>
      </c>
      <c r="E183" s="24"/>
      <c r="F183" s="8"/>
      <c r="G183" s="281">
        <f>+G184+G187+G192</f>
        <v>3414.1650999070007</v>
      </c>
      <c r="H183" s="204">
        <f t="shared" ref="H183" si="159">+H184+H187+H192</f>
        <v>3721.811814556329</v>
      </c>
      <c r="I183" s="204">
        <f t="shared" ref="I183" si="160">+I184+I187+I192</f>
        <v>4065.9703095559598</v>
      </c>
      <c r="J183" s="204">
        <f t="shared" ref="J183" si="161">+J184+J187+J192</f>
        <v>4417.7417565500064</v>
      </c>
      <c r="K183" s="204">
        <f t="shared" ref="K183" si="162">+K184+K187+K192</f>
        <v>4777.2804360454174</v>
      </c>
      <c r="L183" s="204">
        <f t="shared" ref="L183" si="163">+L184+L187+L192</f>
        <v>5170.9018043056194</v>
      </c>
      <c r="M183" s="204">
        <f t="shared" ref="M183" si="164">+M184+M187+M192</f>
        <v>5548.4722578982146</v>
      </c>
      <c r="N183" s="204">
        <f t="shared" ref="N183" si="165">+N184+N187+N192</f>
        <v>5958.4908171548905</v>
      </c>
      <c r="O183" s="204">
        <f t="shared" ref="O183" si="166">+O184+O187+O192</f>
        <v>6350.7523940224837</v>
      </c>
      <c r="P183" s="204">
        <f t="shared" ref="P183" si="167">+P184+P187+P192</f>
        <v>6932.131370898469</v>
      </c>
      <c r="Q183" s="204">
        <f t="shared" ref="Q183" si="168">+Q184+Q187+Q192</f>
        <v>7191.5911417929765</v>
      </c>
      <c r="R183" s="205">
        <f t="shared" ref="R183" si="169">+R184+R187+R192</f>
        <v>7636.4444599169747</v>
      </c>
    </row>
    <row r="184" spans="1:18">
      <c r="A184" s="292">
        <f t="shared" ref="A184:C184" si="170">+A185+A186</f>
        <v>71836.942333807092</v>
      </c>
      <c r="C184" s="292">
        <f t="shared" si="170"/>
        <v>79200.22892302234</v>
      </c>
      <c r="E184" s="270" t="s">
        <v>156</v>
      </c>
      <c r="F184" s="269" t="s">
        <v>54</v>
      </c>
      <c r="G184" s="282">
        <f t="shared" ref="G184:H184" si="171">+G185+G186</f>
        <v>7029.2558300697428</v>
      </c>
      <c r="H184" s="277">
        <f t="shared" si="171"/>
        <v>7392.6837585751346</v>
      </c>
      <c r="I184" s="277">
        <f t="shared" ref="I184" si="172">+I185+I186</f>
        <v>7763.3802456506382</v>
      </c>
      <c r="J184" s="277">
        <f t="shared" ref="J184" si="173">+J185+J186</f>
        <v>8141.4906624676496</v>
      </c>
      <c r="K184" s="277">
        <f t="shared" ref="K184" si="174">+K185+K186</f>
        <v>8527.1632876210042</v>
      </c>
      <c r="L184" s="277">
        <f t="shared" ref="L184" si="175">+L185+L186</f>
        <v>8920.5493652774239</v>
      </c>
      <c r="M184" s="277">
        <f t="shared" ref="M184" si="176">+M185+M186</f>
        <v>9321.8031644869679</v>
      </c>
      <c r="N184" s="277">
        <f t="shared" ref="N184" si="177">+N185+N186</f>
        <v>9731.0820396807103</v>
      </c>
      <c r="O184" s="277">
        <f t="shared" ref="O184" si="178">+O185+O186</f>
        <v>10148.546492378324</v>
      </c>
      <c r="P184" s="277">
        <f t="shared" ref="P184" si="179">+P185+P186</f>
        <v>10574.360234129894</v>
      </c>
      <c r="Q184" s="277">
        <f t="shared" ref="Q184" si="180">+Q185+Q186</f>
        <v>11008.690250716485</v>
      </c>
      <c r="R184" s="278">
        <f t="shared" ref="R184" si="181">+R185+R186</f>
        <v>11451.706867634821</v>
      </c>
    </row>
    <row r="185" spans="1:18">
      <c r="A185" s="233">
        <f t="shared" ref="A185:C185" si="182">+A161-A173</f>
        <v>17080.25573818569</v>
      </c>
      <c r="C185" s="233">
        <f t="shared" si="182"/>
        <v>18830.981951349735</v>
      </c>
      <c r="E185" s="271" t="s">
        <v>157</v>
      </c>
      <c r="F185" s="32" t="s">
        <v>54</v>
      </c>
      <c r="G185" s="249">
        <f t="shared" ref="G185:R185" si="183">+G161-G173</f>
        <v>678.92842393600222</v>
      </c>
      <c r="H185" s="216">
        <f t="shared" si="183"/>
        <v>954.50699241471921</v>
      </c>
      <c r="I185" s="216">
        <f t="shared" si="183"/>
        <v>1235.5971322630139</v>
      </c>
      <c r="J185" s="216">
        <f t="shared" si="183"/>
        <v>1522.3090749082749</v>
      </c>
      <c r="K185" s="216">
        <f t="shared" si="183"/>
        <v>1814.755256406439</v>
      </c>
      <c r="L185" s="216">
        <f t="shared" si="183"/>
        <v>2113.0503615345697</v>
      </c>
      <c r="M185" s="216">
        <f t="shared" si="183"/>
        <v>2417.3113687652567</v>
      </c>
      <c r="N185" s="216">
        <f t="shared" si="183"/>
        <v>2727.6575961405651</v>
      </c>
      <c r="O185" s="216">
        <f t="shared" si="183"/>
        <v>3044.2107480633749</v>
      </c>
      <c r="P185" s="216">
        <f t="shared" si="183"/>
        <v>3367.0949630246469</v>
      </c>
      <c r="Q185" s="216">
        <f t="shared" si="183"/>
        <v>3696.4368622851325</v>
      </c>
      <c r="R185" s="242">
        <f t="shared" si="183"/>
        <v>4032.36559953084</v>
      </c>
    </row>
    <row r="186" spans="1:18">
      <c r="A186" s="293">
        <f t="shared" ref="A186:C186" si="184">+A162-A174</f>
        <v>54756.68659562141</v>
      </c>
      <c r="C186" s="293">
        <f t="shared" si="184"/>
        <v>60369.246971672612</v>
      </c>
      <c r="E186" s="272" t="s">
        <v>158</v>
      </c>
      <c r="F186" s="89" t="s">
        <v>54</v>
      </c>
      <c r="G186" s="283">
        <f t="shared" ref="G186:R186" si="185">+G162-G174</f>
        <v>6350.3274061337406</v>
      </c>
      <c r="H186" s="273">
        <f t="shared" si="185"/>
        <v>6438.1767661604154</v>
      </c>
      <c r="I186" s="273">
        <f t="shared" si="185"/>
        <v>6527.7831133876243</v>
      </c>
      <c r="J186" s="273">
        <f t="shared" si="185"/>
        <v>6619.1815875593747</v>
      </c>
      <c r="K186" s="273">
        <f t="shared" si="185"/>
        <v>6712.4080312145652</v>
      </c>
      <c r="L186" s="273">
        <f t="shared" si="185"/>
        <v>6807.4990037428543</v>
      </c>
      <c r="M186" s="273">
        <f t="shared" si="185"/>
        <v>6904.4917957217112</v>
      </c>
      <c r="N186" s="273">
        <f t="shared" si="185"/>
        <v>7003.4244435401461</v>
      </c>
      <c r="O186" s="273">
        <f t="shared" si="185"/>
        <v>7104.3357443149489</v>
      </c>
      <c r="P186" s="273">
        <f t="shared" si="185"/>
        <v>7207.2652711052478</v>
      </c>
      <c r="Q186" s="273">
        <f t="shared" si="185"/>
        <v>7312.2533884313534</v>
      </c>
      <c r="R186" s="279">
        <f t="shared" si="185"/>
        <v>7419.3412681039808</v>
      </c>
    </row>
    <row r="187" spans="1:18">
      <c r="A187" s="294">
        <f>SUM(A188:A191)</f>
        <v>643.93042366090287</v>
      </c>
      <c r="C187" s="294">
        <f>SUM(C188:C191)</f>
        <v>709.93329208613511</v>
      </c>
      <c r="E187" s="274" t="s">
        <v>163</v>
      </c>
      <c r="F187" s="275" t="s">
        <v>54</v>
      </c>
      <c r="G187" s="284">
        <f>SUM(G188:G191)</f>
        <v>-22.48299830031749</v>
      </c>
      <c r="H187" s="276">
        <f t="shared" ref="H187" si="186">SUM(H188:H191)</f>
        <v>-33.505182568757391</v>
      </c>
      <c r="I187" s="276">
        <f t="shared" ref="I187" si="187">SUM(I188:I191)</f>
        <v>-17.58495405164399</v>
      </c>
      <c r="J187" s="276">
        <f t="shared" ref="J187" si="188">SUM(J188:J191)</f>
        <v>-0.84270667656346632</v>
      </c>
      <c r="K187" s="276">
        <f t="shared" ref="K187" si="189">SUM(K188:K191)</f>
        <v>16.737835391286353</v>
      </c>
      <c r="L187" s="276">
        <f t="shared" ref="L187" si="190">SUM(L188:L191)</f>
        <v>59.799598703938273</v>
      </c>
      <c r="M187" s="276">
        <f t="shared" ref="M187" si="191">SUM(M188:M191)</f>
        <v>79.565892737336526</v>
      </c>
      <c r="N187" s="276">
        <f t="shared" ref="N187" si="192">SUM(N188:N191)</f>
        <v>124.38857188482302</v>
      </c>
      <c r="O187" s="276">
        <f t="shared" ref="O187" si="193">SUM(O188:O191)</f>
        <v>145.49162618853711</v>
      </c>
      <c r="P187" s="276">
        <f t="shared" ref="P187" si="194">SUM(P188:P191)</f>
        <v>344.85865398757869</v>
      </c>
      <c r="Q187" s="276">
        <f t="shared" ref="Q187" si="195">SUM(Q188:Q191)</f>
        <v>216.03443581792999</v>
      </c>
      <c r="R187" s="280">
        <f t="shared" ref="R187" si="196">SUM(R188:R191)</f>
        <v>264.59312670388294</v>
      </c>
    </row>
    <row r="188" spans="1:18">
      <c r="A188" s="233">
        <f t="shared" ref="A188:C188" si="197">+A164-A176</f>
        <v>-2405.6342398755369</v>
      </c>
      <c r="C188" s="233">
        <f t="shared" si="197"/>
        <v>-2652.2117494627892</v>
      </c>
      <c r="E188" s="271" t="s">
        <v>160</v>
      </c>
      <c r="F188" s="32" t="s">
        <v>54</v>
      </c>
      <c r="G188" s="249">
        <f t="shared" ref="G188:R188" si="198">+G164-G176</f>
        <v>148.97012468950561</v>
      </c>
      <c r="H188" s="216">
        <f t="shared" si="198"/>
        <v>-367.29900203755824</v>
      </c>
      <c r="I188" s="216">
        <f t="shared" si="198"/>
        <v>-373.32147627884478</v>
      </c>
      <c r="J188" s="216">
        <f t="shared" si="198"/>
        <v>-379.05189044769941</v>
      </c>
      <c r="K188" s="216">
        <f t="shared" si="198"/>
        <v>-384.48456788503245</v>
      </c>
      <c r="L188" s="216">
        <f t="shared" si="198"/>
        <v>-368.16553032763477</v>
      </c>
      <c r="M188" s="216">
        <f t="shared" si="198"/>
        <v>-372.98525455237177</v>
      </c>
      <c r="N188" s="216">
        <f t="shared" si="198"/>
        <v>-356.04134209595941</v>
      </c>
      <c r="O188" s="216">
        <f t="shared" si="198"/>
        <v>-360.22403467531694</v>
      </c>
      <c r="P188" s="216">
        <f t="shared" si="198"/>
        <v>-207.5070988865773</v>
      </c>
      <c r="Q188" s="216">
        <f t="shared" si="198"/>
        <v>-346.15131759831638</v>
      </c>
      <c r="R188" s="242">
        <f t="shared" si="198"/>
        <v>-327.88301763707204</v>
      </c>
    </row>
    <row r="189" spans="1:18">
      <c r="A189" s="233">
        <f t="shared" ref="A189:C189" si="199">+A165-A177</f>
        <v>2365.3733796395954</v>
      </c>
      <c r="C189" s="233">
        <f t="shared" si="199"/>
        <v>2607.8241510526532</v>
      </c>
      <c r="E189" s="271" t="s">
        <v>159</v>
      </c>
      <c r="F189" s="32" t="s">
        <v>54</v>
      </c>
      <c r="G189" s="249">
        <f t="shared" ref="G189:R189" si="200">+G165-G177</f>
        <v>166.9428944064</v>
      </c>
      <c r="H189" s="216">
        <f t="shared" si="200"/>
        <v>190.16706746880027</v>
      </c>
      <c r="I189" s="216">
        <f t="shared" si="200"/>
        <v>214.8288742272</v>
      </c>
      <c r="J189" s="216">
        <f t="shared" si="200"/>
        <v>240.02063977113585</v>
      </c>
      <c r="K189" s="216">
        <f t="shared" si="200"/>
        <v>265.7529632763185</v>
      </c>
      <c r="L189" s="216">
        <f t="shared" si="200"/>
        <v>292.49568903157274</v>
      </c>
      <c r="M189" s="216">
        <f t="shared" si="200"/>
        <v>319.80081128970824</v>
      </c>
      <c r="N189" s="216">
        <f t="shared" si="200"/>
        <v>347.67957798078237</v>
      </c>
      <c r="O189" s="216">
        <f t="shared" si="200"/>
        <v>375.68442886385424</v>
      </c>
      <c r="P189" s="216">
        <f t="shared" si="200"/>
        <v>405.20416567415532</v>
      </c>
      <c r="Q189" s="216">
        <f t="shared" si="200"/>
        <v>434.87362541624634</v>
      </c>
      <c r="R189" s="242">
        <f t="shared" si="200"/>
        <v>465.16401634095496</v>
      </c>
    </row>
    <row r="190" spans="1:18">
      <c r="A190" s="233">
        <f t="shared" ref="A190:C190" si="201">+A166-A178</f>
        <v>1102.9295397190872</v>
      </c>
      <c r="C190" s="233">
        <f t="shared" si="201"/>
        <v>1215.9798175402939</v>
      </c>
      <c r="E190" s="271" t="s">
        <v>161</v>
      </c>
      <c r="F190" s="32" t="s">
        <v>54</v>
      </c>
      <c r="G190" s="249">
        <f t="shared" ref="G190:R190" si="202">+G166-G178</f>
        <v>146.34585600000082</v>
      </c>
      <c r="H190" s="216">
        <f t="shared" si="202"/>
        <v>143.62675200000058</v>
      </c>
      <c r="I190" s="216">
        <f t="shared" si="202"/>
        <v>140.90764800000079</v>
      </c>
      <c r="J190" s="216">
        <f t="shared" si="202"/>
        <v>138.18854400000009</v>
      </c>
      <c r="K190" s="216">
        <f t="shared" si="202"/>
        <v>135.4694400000003</v>
      </c>
      <c r="L190" s="216">
        <f t="shared" si="202"/>
        <v>135.4694400000003</v>
      </c>
      <c r="M190" s="216">
        <f t="shared" si="202"/>
        <v>132.75033600000006</v>
      </c>
      <c r="N190" s="216">
        <f t="shared" si="202"/>
        <v>132.75033600000006</v>
      </c>
      <c r="O190" s="216">
        <f t="shared" si="202"/>
        <v>130.03123199999982</v>
      </c>
      <c r="P190" s="216">
        <f t="shared" si="202"/>
        <v>147.16158720000067</v>
      </c>
      <c r="Q190" s="216">
        <f t="shared" si="202"/>
        <v>127.31212800000003</v>
      </c>
      <c r="R190" s="242">
        <f t="shared" si="202"/>
        <v>127.31212800000003</v>
      </c>
    </row>
    <row r="191" spans="1:18">
      <c r="A191" s="293">
        <f t="shared" ref="A191:C191" si="203">+A167-A179</f>
        <v>-418.73825582224288</v>
      </c>
      <c r="C191" s="293">
        <f t="shared" si="203"/>
        <v>-461.65892704402279</v>
      </c>
      <c r="E191" s="272" t="s">
        <v>162</v>
      </c>
      <c r="F191" s="89" t="s">
        <v>54</v>
      </c>
      <c r="G191" s="283">
        <f t="shared" ref="G191:R191" si="204">+G167-G179</f>
        <v>-484.74187339622392</v>
      </c>
      <c r="H191" s="273">
        <f t="shared" si="204"/>
        <v>0</v>
      </c>
      <c r="I191" s="273">
        <f t="shared" si="204"/>
        <v>0</v>
      </c>
      <c r="J191" s="273">
        <f t="shared" si="204"/>
        <v>0</v>
      </c>
      <c r="K191" s="273">
        <f t="shared" si="204"/>
        <v>0</v>
      </c>
      <c r="L191" s="273">
        <f t="shared" si="204"/>
        <v>0</v>
      </c>
      <c r="M191" s="273">
        <f t="shared" si="204"/>
        <v>0</v>
      </c>
      <c r="N191" s="273">
        <f t="shared" si="204"/>
        <v>0</v>
      </c>
      <c r="O191" s="273">
        <f t="shared" si="204"/>
        <v>0</v>
      </c>
      <c r="P191" s="273">
        <f t="shared" si="204"/>
        <v>0</v>
      </c>
      <c r="Q191" s="273">
        <f t="shared" si="204"/>
        <v>0</v>
      </c>
      <c r="R191" s="279">
        <f t="shared" si="204"/>
        <v>0</v>
      </c>
    </row>
    <row r="192" spans="1:18">
      <c r="A192" s="294">
        <f>SUM(A193:A194)</f>
        <v>-30613.677444614492</v>
      </c>
      <c r="C192" s="294">
        <f>SUM(C193:C194)</f>
        <v>-33751.57938268748</v>
      </c>
      <c r="E192" s="274" t="s">
        <v>165</v>
      </c>
      <c r="F192" s="275" t="s">
        <v>54</v>
      </c>
      <c r="G192" s="284">
        <f>SUM(G193:G194)</f>
        <v>-3592.6077318624248</v>
      </c>
      <c r="H192" s="276">
        <f t="shared" ref="H192" si="205">SUM(H193:H194)</f>
        <v>-3637.3667614500487</v>
      </c>
      <c r="I192" s="276">
        <f t="shared" ref="I192" si="206">SUM(I193:I194)</f>
        <v>-3679.8249820430347</v>
      </c>
      <c r="J192" s="276">
        <f t="shared" ref="J192" si="207">SUM(J193:J194)</f>
        <v>-3722.9061992410798</v>
      </c>
      <c r="K192" s="276">
        <f t="shared" ref="K192" si="208">SUM(K193:K194)</f>
        <v>-3766.6206869668736</v>
      </c>
      <c r="L192" s="276">
        <f t="shared" ref="L192" si="209">SUM(L193:L194)</f>
        <v>-3809.4471596757421</v>
      </c>
      <c r="M192" s="276">
        <f t="shared" ref="M192" si="210">SUM(M193:M194)</f>
        <v>-3852.8967993260903</v>
      </c>
      <c r="N192" s="276">
        <f t="shared" ref="N192" si="211">SUM(N193:N194)</f>
        <v>-3896.9797944106431</v>
      </c>
      <c r="O192" s="276">
        <f t="shared" ref="O192" si="212">SUM(O193:O194)</f>
        <v>-3943.2857245443779</v>
      </c>
      <c r="P192" s="276">
        <f t="shared" ref="P192" si="213">SUM(P193:P194)</f>
        <v>-3987.0875172190044</v>
      </c>
      <c r="Q192" s="276">
        <f t="shared" ref="Q192" si="214">SUM(Q193:Q194)</f>
        <v>-4033.133544741439</v>
      </c>
      <c r="R192" s="280">
        <f t="shared" ref="R192" si="215">SUM(R193:R194)</f>
        <v>-4079.8555344217298</v>
      </c>
    </row>
    <row r="193" spans="1:18">
      <c r="A193" s="233">
        <f t="shared" ref="A193:C193" si="216">+A169-A181</f>
        <v>-25146.346696221412</v>
      </c>
      <c r="C193" s="233">
        <f t="shared" si="216"/>
        <v>-27723.847232584107</v>
      </c>
      <c r="E193" s="271" t="s">
        <v>166</v>
      </c>
      <c r="F193" s="32" t="s">
        <v>54</v>
      </c>
      <c r="G193" s="249">
        <f t="shared" ref="G193:R193" si="217">+G169-G181</f>
        <v>-2917.888825622425</v>
      </c>
      <c r="H193" s="216">
        <f t="shared" si="217"/>
        <v>-2961.0062033700488</v>
      </c>
      <c r="I193" s="216">
        <f t="shared" si="217"/>
        <v>-3002.3699894030342</v>
      </c>
      <c r="J193" s="216">
        <f t="shared" si="217"/>
        <v>-3044.3567720410797</v>
      </c>
      <c r="K193" s="216">
        <f t="shared" si="217"/>
        <v>-3086.9768252068734</v>
      </c>
      <c r="L193" s="216">
        <f t="shared" si="217"/>
        <v>-3128.9824719957419</v>
      </c>
      <c r="M193" s="216">
        <f t="shared" si="217"/>
        <v>-3171.61128572609</v>
      </c>
      <c r="N193" s="216">
        <f t="shared" si="217"/>
        <v>-3214.8734548906432</v>
      </c>
      <c r="O193" s="216">
        <f t="shared" si="217"/>
        <v>-3260.0849504643779</v>
      </c>
      <c r="P193" s="216">
        <f t="shared" si="217"/>
        <v>-3303.3395258590044</v>
      </c>
      <c r="Q193" s="216">
        <f t="shared" si="217"/>
        <v>-3348.5647274614389</v>
      </c>
      <c r="R193" s="242">
        <f t="shared" si="217"/>
        <v>-3394.4658912217296</v>
      </c>
    </row>
    <row r="194" spans="1:18">
      <c r="A194" s="293">
        <f t="shared" ref="A194:C195" si="218">+A170-A182</f>
        <v>-5467.3307483930803</v>
      </c>
      <c r="C194" s="293">
        <f t="shared" si="218"/>
        <v>-6027.7321501033712</v>
      </c>
      <c r="E194" s="272" t="s">
        <v>167</v>
      </c>
      <c r="F194" s="89" t="s">
        <v>54</v>
      </c>
      <c r="G194" s="283">
        <f t="shared" ref="G194:R194" si="219">+G170-G182</f>
        <v>-674.71890624000002</v>
      </c>
      <c r="H194" s="273">
        <f t="shared" si="219"/>
        <v>-676.36055807999992</v>
      </c>
      <c r="I194" s="273">
        <f t="shared" si="219"/>
        <v>-677.45499264000023</v>
      </c>
      <c r="J194" s="273">
        <f t="shared" si="219"/>
        <v>-678.54942720000008</v>
      </c>
      <c r="K194" s="273">
        <f t="shared" si="219"/>
        <v>-679.64386176000005</v>
      </c>
      <c r="L194" s="273">
        <f t="shared" si="219"/>
        <v>-680.46468768000011</v>
      </c>
      <c r="M194" s="273">
        <f t="shared" si="219"/>
        <v>-681.28551360000006</v>
      </c>
      <c r="N194" s="273">
        <f t="shared" si="219"/>
        <v>-682.10633952000001</v>
      </c>
      <c r="O194" s="273">
        <f t="shared" si="219"/>
        <v>-683.20077407999997</v>
      </c>
      <c r="P194" s="273">
        <f t="shared" si="219"/>
        <v>-683.74799136000001</v>
      </c>
      <c r="Q194" s="273">
        <f t="shared" si="219"/>
        <v>-684.56881728000008</v>
      </c>
      <c r="R194" s="279">
        <f t="shared" si="219"/>
        <v>-685.38964320000002</v>
      </c>
    </row>
    <row r="195" spans="1:18">
      <c r="C195" s="233">
        <f t="shared" si="139"/>
        <v>19.499153600187373</v>
      </c>
      <c r="G195">
        <v>2.2000000000000002</v>
      </c>
      <c r="H195">
        <v>2.2000000000000002</v>
      </c>
      <c r="I195">
        <v>2.2000000000000002</v>
      </c>
      <c r="J195">
        <v>2.2000000000000002</v>
      </c>
      <c r="K195">
        <v>2.2000000000000002</v>
      </c>
      <c r="L195">
        <v>2.2000000000000002</v>
      </c>
      <c r="M195">
        <v>2.2000000000000002</v>
      </c>
      <c r="N195">
        <v>2.2000000000000002</v>
      </c>
      <c r="O195">
        <v>2.2000000000000002</v>
      </c>
      <c r="P195">
        <v>2.2000000000000002</v>
      </c>
      <c r="Q195">
        <v>2.2000000000000002</v>
      </c>
      <c r="R195">
        <v>2.2000000000000002</v>
      </c>
    </row>
    <row r="204" spans="1:18">
      <c r="G204" s="288">
        <f>+G158</f>
        <v>2013</v>
      </c>
      <c r="H204" s="289">
        <f t="shared" ref="H204:R204" si="220">+H158</f>
        <v>2014</v>
      </c>
      <c r="I204" s="289">
        <f t="shared" si="220"/>
        <v>2015</v>
      </c>
      <c r="J204" s="289">
        <f t="shared" si="220"/>
        <v>2016</v>
      </c>
      <c r="K204" s="289">
        <f t="shared" si="220"/>
        <v>2017</v>
      </c>
      <c r="L204" s="289">
        <f t="shared" si="220"/>
        <v>2018</v>
      </c>
      <c r="M204" s="289">
        <f t="shared" si="220"/>
        <v>2019</v>
      </c>
      <c r="N204" s="289">
        <f t="shared" si="220"/>
        <v>2020</v>
      </c>
      <c r="O204" s="289">
        <f t="shared" si="220"/>
        <v>2021</v>
      </c>
      <c r="P204" s="289">
        <f t="shared" si="220"/>
        <v>2022</v>
      </c>
      <c r="Q204" s="289">
        <f t="shared" si="220"/>
        <v>2023</v>
      </c>
      <c r="R204" s="290">
        <f t="shared" si="220"/>
        <v>2024</v>
      </c>
    </row>
    <row r="205" spans="1:18">
      <c r="E205" s="274" t="s">
        <v>190</v>
      </c>
      <c r="F205" s="275" t="s">
        <v>54</v>
      </c>
      <c r="G205" s="284">
        <f>SUM(G206:G209)</f>
        <v>26398.955858187255</v>
      </c>
      <c r="H205" s="276">
        <f t="shared" ref="H205:R205" si="221">SUM(H206:H209)</f>
        <v>25932.856366398973</v>
      </c>
      <c r="I205" s="276">
        <f t="shared" si="221"/>
        <v>25977.550525267085</v>
      </c>
      <c r="J205" s="276">
        <f t="shared" si="221"/>
        <v>26023.094408034329</v>
      </c>
      <c r="K205" s="276">
        <f t="shared" si="221"/>
        <v>26069.504567585915</v>
      </c>
      <c r="L205" s="276">
        <f t="shared" si="221"/>
        <v>26116.797883448817</v>
      </c>
      <c r="M205" s="276">
        <f t="shared" si="221"/>
        <v>26164.991568280464</v>
      </c>
      <c r="N205" s="276">
        <f t="shared" si="221"/>
        <v>26214.103174486747</v>
      </c>
      <c r="O205" s="276">
        <f t="shared" si="221"/>
        <v>26264.150600971931</v>
      </c>
      <c r="P205" s="276">
        <f t="shared" si="221"/>
        <v>26315.152100023151</v>
      </c>
      <c r="Q205" s="276">
        <f t="shared" si="221"/>
        <v>26367.126284332084</v>
      </c>
      <c r="R205" s="280">
        <f t="shared" si="221"/>
        <v>26420.092134156661</v>
      </c>
    </row>
    <row r="206" spans="1:18">
      <c r="E206" s="271" t="s">
        <v>160</v>
      </c>
      <c r="F206" s="32" t="s">
        <v>54</v>
      </c>
      <c r="G206" s="249">
        <f>+G164</f>
        <v>22204.677266187253</v>
      </c>
      <c r="H206" s="216">
        <f t="shared" ref="H206:R206" si="222">+H164</f>
        <v>21712.599402558972</v>
      </c>
      <c r="I206" s="216">
        <f t="shared" si="222"/>
        <v>21730.795622150283</v>
      </c>
      <c r="J206" s="216">
        <f t="shared" si="222"/>
        <v>21749.311606855194</v>
      </c>
      <c r="K206" s="216">
        <f t="shared" si="222"/>
        <v>21768.153310383197</v>
      </c>
      <c r="L206" s="216">
        <f t="shared" si="222"/>
        <v>21787.326801102045</v>
      </c>
      <c r="M206" s="216">
        <f t="shared" si="222"/>
        <v>21806.838264286755</v>
      </c>
      <c r="N206" s="216">
        <f t="shared" si="222"/>
        <v>21826.694004413162</v>
      </c>
      <c r="O206" s="216">
        <f t="shared" si="222"/>
        <v>21846.900447496875</v>
      </c>
      <c r="P206" s="216">
        <f t="shared" si="222"/>
        <v>21867.464143478595</v>
      </c>
      <c r="Q206" s="216">
        <f t="shared" si="222"/>
        <v>21888.391768656638</v>
      </c>
      <c r="R206" s="242">
        <f t="shared" si="222"/>
        <v>21909.690128167706</v>
      </c>
    </row>
    <row r="207" spans="1:18">
      <c r="E207" s="271" t="s">
        <v>159</v>
      </c>
      <c r="F207" s="32" t="s">
        <v>54</v>
      </c>
      <c r="G207" s="249">
        <f t="shared" ref="G207:R209" si="223">+G165</f>
        <v>1298.9185920000002</v>
      </c>
      <c r="H207" s="216">
        <f t="shared" si="223"/>
        <v>1324.8969638400001</v>
      </c>
      <c r="I207" s="216">
        <f t="shared" si="223"/>
        <v>1351.3949031168002</v>
      </c>
      <c r="J207" s="216">
        <f t="shared" si="223"/>
        <v>1378.4228011791361</v>
      </c>
      <c r="K207" s="216">
        <f t="shared" si="223"/>
        <v>1405.9912572027188</v>
      </c>
      <c r="L207" s="216">
        <f t="shared" si="223"/>
        <v>1434.1110823467729</v>
      </c>
      <c r="M207" s="216">
        <f t="shared" si="223"/>
        <v>1462.7933039937084</v>
      </c>
      <c r="N207" s="216">
        <f t="shared" si="223"/>
        <v>1492.0491700735824</v>
      </c>
      <c r="O207" s="216">
        <f t="shared" si="223"/>
        <v>1521.8901534750541</v>
      </c>
      <c r="P207" s="216">
        <f t="shared" si="223"/>
        <v>1552.3279565445553</v>
      </c>
      <c r="Q207" s="216">
        <f t="shared" si="223"/>
        <v>1583.3745156754464</v>
      </c>
      <c r="R207" s="242">
        <f t="shared" si="223"/>
        <v>1615.0420059889552</v>
      </c>
    </row>
    <row r="208" spans="1:18">
      <c r="E208" s="271" t="s">
        <v>161</v>
      </c>
      <c r="F208" s="32" t="s">
        <v>54</v>
      </c>
      <c r="G208" s="249">
        <f t="shared" si="223"/>
        <v>2895.36</v>
      </c>
      <c r="H208" s="216">
        <f t="shared" si="223"/>
        <v>2895.36</v>
      </c>
      <c r="I208" s="216">
        <f t="shared" si="223"/>
        <v>2895.36</v>
      </c>
      <c r="J208" s="216">
        <f t="shared" si="223"/>
        <v>2895.36</v>
      </c>
      <c r="K208" s="216">
        <f t="shared" si="223"/>
        <v>2895.36</v>
      </c>
      <c r="L208" s="216">
        <f t="shared" si="223"/>
        <v>2895.36</v>
      </c>
      <c r="M208" s="216">
        <f t="shared" si="223"/>
        <v>2895.36</v>
      </c>
      <c r="N208" s="216">
        <f t="shared" si="223"/>
        <v>2895.36</v>
      </c>
      <c r="O208" s="216">
        <f t="shared" si="223"/>
        <v>2895.36</v>
      </c>
      <c r="P208" s="216">
        <f t="shared" si="223"/>
        <v>2895.36</v>
      </c>
      <c r="Q208" s="216">
        <f t="shared" si="223"/>
        <v>2895.36</v>
      </c>
      <c r="R208" s="242">
        <f t="shared" si="223"/>
        <v>2895.36</v>
      </c>
    </row>
    <row r="209" spans="5:18">
      <c r="E209" s="272" t="s">
        <v>168</v>
      </c>
      <c r="F209" s="89" t="s">
        <v>54</v>
      </c>
      <c r="G209" s="283">
        <f t="shared" si="223"/>
        <v>0</v>
      </c>
      <c r="H209" s="273">
        <f t="shared" si="223"/>
        <v>0</v>
      </c>
      <c r="I209" s="273">
        <f t="shared" si="223"/>
        <v>0</v>
      </c>
      <c r="J209" s="273">
        <f t="shared" si="223"/>
        <v>0</v>
      </c>
      <c r="K209" s="273">
        <f t="shared" si="223"/>
        <v>0</v>
      </c>
      <c r="L209" s="273">
        <f t="shared" si="223"/>
        <v>0</v>
      </c>
      <c r="M209" s="273">
        <f t="shared" si="223"/>
        <v>0</v>
      </c>
      <c r="N209" s="273">
        <f t="shared" si="223"/>
        <v>0</v>
      </c>
      <c r="O209" s="273">
        <f t="shared" si="223"/>
        <v>0</v>
      </c>
      <c r="P209" s="273">
        <f t="shared" si="223"/>
        <v>0</v>
      </c>
      <c r="Q209" s="273">
        <f t="shared" si="223"/>
        <v>0</v>
      </c>
      <c r="R209" s="279">
        <f t="shared" si="223"/>
        <v>0</v>
      </c>
    </row>
    <row r="210" spans="5:18">
      <c r="E210" s="274" t="s">
        <v>191</v>
      </c>
      <c r="F210" s="275" t="s">
        <v>54</v>
      </c>
      <c r="G210" s="284">
        <f>SUM(G211:G214)</f>
        <v>26421.43885648757</v>
      </c>
      <c r="H210" s="276">
        <f t="shared" ref="H210:R210" si="224">SUM(H211:H214)</f>
        <v>25966.361548967729</v>
      </c>
      <c r="I210" s="276">
        <f t="shared" si="224"/>
        <v>25995.135479318727</v>
      </c>
      <c r="J210" s="276">
        <f t="shared" si="224"/>
        <v>26023.937114710894</v>
      </c>
      <c r="K210" s="276">
        <f t="shared" si="224"/>
        <v>26052.766732194628</v>
      </c>
      <c r="L210" s="276">
        <f t="shared" si="224"/>
        <v>26056.998284744881</v>
      </c>
      <c r="M210" s="276">
        <f t="shared" si="224"/>
        <v>26085.425675543127</v>
      </c>
      <c r="N210" s="276">
        <f t="shared" si="224"/>
        <v>26089.714602601922</v>
      </c>
      <c r="O210" s="276">
        <f t="shared" si="224"/>
        <v>26118.658974783393</v>
      </c>
      <c r="P210" s="276">
        <f t="shared" si="224"/>
        <v>25970.293446035572</v>
      </c>
      <c r="Q210" s="276">
        <f t="shared" si="224"/>
        <v>26151.091848514156</v>
      </c>
      <c r="R210" s="280">
        <f t="shared" si="224"/>
        <v>26155.499007452778</v>
      </c>
    </row>
    <row r="211" spans="5:18">
      <c r="E211" s="271" t="s">
        <v>160</v>
      </c>
      <c r="F211" s="32" t="s">
        <v>54</v>
      </c>
      <c r="G211" s="249">
        <f>+G176</f>
        <v>22055.707141497747</v>
      </c>
      <c r="H211" s="216">
        <f t="shared" ref="H211:R211" si="225">+H176</f>
        <v>22079.89840459653</v>
      </c>
      <c r="I211" s="216">
        <f t="shared" si="225"/>
        <v>22104.117098429128</v>
      </c>
      <c r="J211" s="216">
        <f t="shared" si="225"/>
        <v>22128.363497302893</v>
      </c>
      <c r="K211" s="216">
        <f t="shared" si="225"/>
        <v>22152.63787826823</v>
      </c>
      <c r="L211" s="216">
        <f t="shared" si="225"/>
        <v>22155.492331429679</v>
      </c>
      <c r="M211" s="216">
        <f t="shared" si="225"/>
        <v>22179.823518839126</v>
      </c>
      <c r="N211" s="216">
        <f t="shared" si="225"/>
        <v>22182.735346509122</v>
      </c>
      <c r="O211" s="216">
        <f t="shared" si="225"/>
        <v>22207.124482172192</v>
      </c>
      <c r="P211" s="216">
        <f t="shared" si="225"/>
        <v>22074.971242365173</v>
      </c>
      <c r="Q211" s="216">
        <f t="shared" si="225"/>
        <v>22234.543086254955</v>
      </c>
      <c r="R211" s="242">
        <f t="shared" si="225"/>
        <v>22237.573145804778</v>
      </c>
    </row>
    <row r="212" spans="5:18">
      <c r="E212" s="271" t="s">
        <v>159</v>
      </c>
      <c r="F212" s="32" t="s">
        <v>54</v>
      </c>
      <c r="G212" s="249">
        <f t="shared" ref="G212:R214" si="226">+G177</f>
        <v>1131.9756975936002</v>
      </c>
      <c r="H212" s="216">
        <f t="shared" si="226"/>
        <v>1134.7298963711999</v>
      </c>
      <c r="I212" s="216">
        <f t="shared" si="226"/>
        <v>1136.5660288896001</v>
      </c>
      <c r="J212" s="216">
        <f t="shared" si="226"/>
        <v>1138.4021614080002</v>
      </c>
      <c r="K212" s="216">
        <f t="shared" si="226"/>
        <v>1140.2382939264003</v>
      </c>
      <c r="L212" s="216">
        <f t="shared" si="226"/>
        <v>1141.6153933152002</v>
      </c>
      <c r="M212" s="216">
        <f t="shared" si="226"/>
        <v>1142.9924927040001</v>
      </c>
      <c r="N212" s="216">
        <f t="shared" si="226"/>
        <v>1144.3695920928001</v>
      </c>
      <c r="O212" s="216">
        <f t="shared" si="226"/>
        <v>1146.2057246111999</v>
      </c>
      <c r="P212" s="216">
        <f t="shared" si="226"/>
        <v>1147.1237908703999</v>
      </c>
      <c r="Q212" s="216">
        <f t="shared" si="226"/>
        <v>1148.5008902592001</v>
      </c>
      <c r="R212" s="242">
        <f t="shared" si="226"/>
        <v>1149.8779896480003</v>
      </c>
    </row>
    <row r="213" spans="5:18">
      <c r="E213" s="271" t="s">
        <v>161</v>
      </c>
      <c r="F213" s="32" t="s">
        <v>54</v>
      </c>
      <c r="G213" s="249">
        <f t="shared" si="226"/>
        <v>2749.0141439999993</v>
      </c>
      <c r="H213" s="216">
        <f t="shared" si="226"/>
        <v>2751.7332479999995</v>
      </c>
      <c r="I213" s="216">
        <f t="shared" si="226"/>
        <v>2754.4523519999993</v>
      </c>
      <c r="J213" s="216">
        <f t="shared" si="226"/>
        <v>2757.171456</v>
      </c>
      <c r="K213" s="216">
        <f t="shared" si="226"/>
        <v>2759.8905599999998</v>
      </c>
      <c r="L213" s="216">
        <f t="shared" si="226"/>
        <v>2759.8905599999998</v>
      </c>
      <c r="M213" s="216">
        <f t="shared" si="226"/>
        <v>2762.6096640000001</v>
      </c>
      <c r="N213" s="216">
        <f t="shared" si="226"/>
        <v>2762.6096640000001</v>
      </c>
      <c r="O213" s="216">
        <f t="shared" si="226"/>
        <v>2765.3287680000003</v>
      </c>
      <c r="P213" s="216">
        <f t="shared" si="226"/>
        <v>2748.1984127999995</v>
      </c>
      <c r="Q213" s="216">
        <f t="shared" si="226"/>
        <v>2768.0478720000001</v>
      </c>
      <c r="R213" s="242">
        <f t="shared" si="226"/>
        <v>2768.0478720000001</v>
      </c>
    </row>
    <row r="214" spans="5:18">
      <c r="E214" s="272" t="s">
        <v>168</v>
      </c>
      <c r="F214" s="89" t="s">
        <v>54</v>
      </c>
      <c r="G214" s="283">
        <f t="shared" si="226"/>
        <v>484.74187339622392</v>
      </c>
      <c r="H214" s="273">
        <f t="shared" si="226"/>
        <v>0</v>
      </c>
      <c r="I214" s="273">
        <f t="shared" si="226"/>
        <v>0</v>
      </c>
      <c r="J214" s="273">
        <f t="shared" si="226"/>
        <v>0</v>
      </c>
      <c r="K214" s="273">
        <f t="shared" si="226"/>
        <v>0</v>
      </c>
      <c r="L214" s="273">
        <f t="shared" si="226"/>
        <v>0</v>
      </c>
      <c r="M214" s="273">
        <f t="shared" si="226"/>
        <v>0</v>
      </c>
      <c r="N214" s="273">
        <f t="shared" si="226"/>
        <v>0</v>
      </c>
      <c r="O214" s="273">
        <f t="shared" si="226"/>
        <v>0</v>
      </c>
      <c r="P214" s="273">
        <f t="shared" si="226"/>
        <v>0</v>
      </c>
      <c r="Q214" s="273">
        <f t="shared" si="226"/>
        <v>0</v>
      </c>
      <c r="R214" s="279">
        <f t="shared" si="226"/>
        <v>0</v>
      </c>
    </row>
    <row r="219" spans="5:18">
      <c r="E219" t="s">
        <v>194</v>
      </c>
    </row>
    <row r="221" spans="5:18">
      <c r="G221" s="288">
        <f>+G204</f>
        <v>2013</v>
      </c>
      <c r="H221" s="288">
        <f t="shared" ref="H221:R221" si="227">+H204</f>
        <v>2014</v>
      </c>
      <c r="I221" s="288">
        <f t="shared" si="227"/>
        <v>2015</v>
      </c>
      <c r="J221" s="288">
        <f t="shared" si="227"/>
        <v>2016</v>
      </c>
      <c r="K221" s="288">
        <f t="shared" si="227"/>
        <v>2017</v>
      </c>
      <c r="L221" s="288">
        <f t="shared" si="227"/>
        <v>2018</v>
      </c>
      <c r="M221" s="288">
        <f t="shared" si="227"/>
        <v>2019</v>
      </c>
      <c r="N221" s="288">
        <f t="shared" si="227"/>
        <v>2020</v>
      </c>
      <c r="O221" s="288">
        <f t="shared" si="227"/>
        <v>2021</v>
      </c>
      <c r="P221" s="288">
        <f t="shared" si="227"/>
        <v>2022</v>
      </c>
      <c r="Q221" s="288">
        <f t="shared" si="227"/>
        <v>2023</v>
      </c>
      <c r="R221" s="288">
        <f t="shared" si="227"/>
        <v>2024</v>
      </c>
    </row>
    <row r="222" spans="5:18">
      <c r="E222" s="270" t="s">
        <v>156</v>
      </c>
      <c r="F222" s="269"/>
      <c r="G222" s="282">
        <f>+G223+G224</f>
        <v>20.915255830069743</v>
      </c>
      <c r="H222" s="277">
        <f t="shared" ref="H222:R222" si="228">+H223+H224</f>
        <v>21.278683758575134</v>
      </c>
      <c r="I222" s="277">
        <f t="shared" si="228"/>
        <v>21.64938024565064</v>
      </c>
      <c r="J222" s="277">
        <f t="shared" si="228"/>
        <v>22.027490662467649</v>
      </c>
      <c r="K222" s="277">
        <f t="shared" si="228"/>
        <v>22.413163287621003</v>
      </c>
      <c r="L222" s="277">
        <f t="shared" si="228"/>
        <v>22.806549365277426</v>
      </c>
      <c r="M222" s="277">
        <f t="shared" si="228"/>
        <v>23.207803164486968</v>
      </c>
      <c r="N222" s="277">
        <f t="shared" si="228"/>
        <v>23.61708203968071</v>
      </c>
      <c r="O222" s="277">
        <f t="shared" si="228"/>
        <v>24.034546492378325</v>
      </c>
      <c r="P222" s="277">
        <f t="shared" si="228"/>
        <v>24.460360234129894</v>
      </c>
      <c r="Q222" s="277">
        <f t="shared" si="228"/>
        <v>24.894690250716486</v>
      </c>
      <c r="R222" s="278">
        <f t="shared" si="228"/>
        <v>25.337706867634822</v>
      </c>
    </row>
    <row r="223" spans="5:18">
      <c r="E223" s="271" t="s">
        <v>195</v>
      </c>
      <c r="F223" s="32"/>
      <c r="G223" s="249">
        <f>+G161/1000</f>
        <v>13.778928423936001</v>
      </c>
      <c r="H223" s="216">
        <f t="shared" ref="H223:R223" si="229">+H161/1000</f>
        <v>14.054506992414719</v>
      </c>
      <c r="I223" s="216">
        <f t="shared" si="229"/>
        <v>14.335597132263015</v>
      </c>
      <c r="J223" s="216">
        <f t="shared" si="229"/>
        <v>14.622309074908275</v>
      </c>
      <c r="K223" s="216">
        <f t="shared" si="229"/>
        <v>14.914755256406439</v>
      </c>
      <c r="L223" s="216">
        <f t="shared" si="229"/>
        <v>15.21305036153457</v>
      </c>
      <c r="M223" s="216">
        <f t="shared" si="229"/>
        <v>15.517311368765256</v>
      </c>
      <c r="N223" s="216">
        <f t="shared" si="229"/>
        <v>15.827657596140565</v>
      </c>
      <c r="O223" s="216">
        <f t="shared" si="229"/>
        <v>16.144210748063376</v>
      </c>
      <c r="P223" s="216">
        <f t="shared" si="229"/>
        <v>16.467094963024646</v>
      </c>
      <c r="Q223" s="216">
        <f t="shared" si="229"/>
        <v>16.796436862285134</v>
      </c>
      <c r="R223" s="242">
        <f t="shared" si="229"/>
        <v>17.132365599530839</v>
      </c>
    </row>
    <row r="224" spans="5:18">
      <c r="E224" s="272" t="s">
        <v>196</v>
      </c>
      <c r="F224" s="89"/>
      <c r="G224" s="283">
        <f t="shared" ref="G224:R224" si="230">+G162/1000</f>
        <v>7.1363274061337405</v>
      </c>
      <c r="H224" s="273">
        <f t="shared" si="230"/>
        <v>7.224176766160415</v>
      </c>
      <c r="I224" s="273">
        <f t="shared" si="230"/>
        <v>7.3137831133876245</v>
      </c>
      <c r="J224" s="273">
        <f t="shared" si="230"/>
        <v>7.4051815875593752</v>
      </c>
      <c r="K224" s="273">
        <f t="shared" si="230"/>
        <v>7.4984080312145656</v>
      </c>
      <c r="L224" s="273">
        <f t="shared" si="230"/>
        <v>7.5934990037428545</v>
      </c>
      <c r="M224" s="273">
        <f t="shared" si="230"/>
        <v>7.6904917957217114</v>
      </c>
      <c r="N224" s="273">
        <f t="shared" si="230"/>
        <v>7.7894244435401463</v>
      </c>
      <c r="O224" s="273">
        <f t="shared" si="230"/>
        <v>7.8903357443149487</v>
      </c>
      <c r="P224" s="273">
        <f t="shared" si="230"/>
        <v>7.9932652711052476</v>
      </c>
      <c r="Q224" s="273">
        <f t="shared" si="230"/>
        <v>8.0982533884313526</v>
      </c>
      <c r="R224" s="279">
        <f t="shared" si="230"/>
        <v>8.2053412681039806</v>
      </c>
    </row>
    <row r="225" spans="5:18">
      <c r="E225" s="274" t="s">
        <v>197</v>
      </c>
      <c r="F225" s="275"/>
      <c r="G225" s="284">
        <f t="shared" ref="G225:R225" si="231">+G163/1000</f>
        <v>26.398955858187254</v>
      </c>
      <c r="H225" s="276">
        <f t="shared" si="231"/>
        <v>25.932856366398973</v>
      </c>
      <c r="I225" s="276">
        <f t="shared" si="231"/>
        <v>25.977550525267084</v>
      </c>
      <c r="J225" s="276">
        <f t="shared" si="231"/>
        <v>26.023094408034328</v>
      </c>
      <c r="K225" s="276">
        <f t="shared" si="231"/>
        <v>26.069504567585916</v>
      </c>
      <c r="L225" s="276">
        <f t="shared" si="231"/>
        <v>26.116797883448818</v>
      </c>
      <c r="M225" s="276">
        <f t="shared" si="231"/>
        <v>26.164991568280463</v>
      </c>
      <c r="N225" s="276">
        <f t="shared" si="231"/>
        <v>26.214103174486748</v>
      </c>
      <c r="O225" s="276">
        <f t="shared" si="231"/>
        <v>26.264150600971931</v>
      </c>
      <c r="P225" s="276">
        <f t="shared" si="231"/>
        <v>26.315152100023152</v>
      </c>
      <c r="Q225" s="276">
        <f t="shared" si="231"/>
        <v>26.367126284332084</v>
      </c>
      <c r="R225" s="280">
        <f t="shared" si="231"/>
        <v>26.420092134156661</v>
      </c>
    </row>
    <row r="226" spans="5:18">
      <c r="E226" s="19" t="s">
        <v>198</v>
      </c>
      <c r="F226" s="89"/>
      <c r="G226" s="107">
        <f>+G171/1000</f>
        <v>43.900046588349994</v>
      </c>
      <c r="H226" s="107">
        <f t="shared" ref="H226:R226" si="232">+H171/1000</f>
        <v>43.489728310417782</v>
      </c>
      <c r="I226" s="107">
        <f t="shared" si="232"/>
        <v>43.560960461361766</v>
      </c>
      <c r="J226" s="107">
        <f t="shared" si="232"/>
        <v>43.632843313951966</v>
      </c>
      <c r="K226" s="107">
        <f t="shared" si="232"/>
        <v>43.705387419161504</v>
      </c>
      <c r="L226" s="107">
        <f t="shared" si="232"/>
        <v>43.75244544442063</v>
      </c>
      <c r="M226" s="107">
        <f t="shared" si="232"/>
        <v>43.824322474869213</v>
      </c>
      <c r="N226" s="107">
        <f t="shared" si="232"/>
        <v>43.872694397012559</v>
      </c>
      <c r="O226" s="107">
        <f t="shared" si="232"/>
        <v>43.947944699327778</v>
      </c>
      <c r="P226" s="107">
        <f t="shared" si="232"/>
        <v>43.843380963254582</v>
      </c>
      <c r="Q226" s="107">
        <f t="shared" si="232"/>
        <v>44.070225393255598</v>
      </c>
      <c r="R226" s="108">
        <f t="shared" si="232"/>
        <v>44.121354541874503</v>
      </c>
    </row>
    <row r="227" spans="5:18">
      <c r="E227" t="s">
        <v>199</v>
      </c>
      <c r="G227" s="190">
        <f t="shared" ref="G227:R227" si="233">+G222+G225-G226</f>
        <v>3.4141650999070023</v>
      </c>
      <c r="H227" s="190">
        <f t="shared" si="233"/>
        <v>3.7218118145563253</v>
      </c>
      <c r="I227" s="190">
        <f t="shared" si="233"/>
        <v>4.0659703095559578</v>
      </c>
      <c r="J227" s="190">
        <f t="shared" si="233"/>
        <v>4.417741756550015</v>
      </c>
      <c r="K227" s="190">
        <f t="shared" si="233"/>
        <v>4.777280436045416</v>
      </c>
      <c r="L227" s="190">
        <f t="shared" si="233"/>
        <v>5.1709018043056147</v>
      </c>
      <c r="M227" s="190">
        <f t="shared" si="233"/>
        <v>5.5484722578982186</v>
      </c>
      <c r="N227" s="190">
        <f t="shared" si="233"/>
        <v>5.9584908171549031</v>
      </c>
      <c r="O227" s="190">
        <f t="shared" si="233"/>
        <v>6.3507523940224786</v>
      </c>
      <c r="P227" s="190">
        <f t="shared" si="233"/>
        <v>6.9321313708984675</v>
      </c>
      <c r="Q227" s="190">
        <f t="shared" si="233"/>
        <v>7.1915911417929692</v>
      </c>
      <c r="R227" s="190">
        <f t="shared" si="233"/>
        <v>7.6364444599169801</v>
      </c>
    </row>
    <row r="233" spans="5:18">
      <c r="Q233" s="312"/>
    </row>
  </sheetData>
  <dataValidations disablePrompts="1" count="1">
    <dataValidation type="list" allowBlank="1" showInputMessage="1" showErrorMessage="1" sqref="F6">
      <formula1>$F$1:$F$2</formula1>
    </dataValidation>
  </dataValidations>
  <pageMargins left="0.70866141732283472" right="0.70866141732283472" top="0.74803149606299213" bottom="0.74803149606299213" header="0.31496062992125984" footer="0.31496062992125984"/>
  <pageSetup paperSize="9" scale="35" fitToHeight="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7"/>
  <sheetViews>
    <sheetView topLeftCell="J1" workbookViewId="0">
      <selection activeCell="Q37" sqref="Q37"/>
    </sheetView>
  </sheetViews>
  <sheetFormatPr baseColWidth="10" defaultRowHeight="15"/>
  <cols>
    <col min="1" max="1" width="12" customWidth="1"/>
    <col min="2" max="2" width="49.28515625" customWidth="1"/>
    <col min="3" max="3" width="11.7109375" bestFit="1" customWidth="1"/>
    <col min="4" max="4" width="10.5703125" customWidth="1"/>
  </cols>
  <sheetData>
    <row r="1" spans="2:21" ht="15.75">
      <c r="B1" t="s">
        <v>102</v>
      </c>
      <c r="C1" s="186">
        <v>60.7</v>
      </c>
      <c r="D1" t="s">
        <v>103</v>
      </c>
      <c r="E1" t="s">
        <v>104</v>
      </c>
      <c r="F1" t="s">
        <v>105</v>
      </c>
    </row>
    <row r="2" spans="2:21" ht="15.75">
      <c r="B2" t="s">
        <v>106</v>
      </c>
      <c r="C2" s="186">
        <v>6.5</v>
      </c>
      <c r="D2" t="s">
        <v>107</v>
      </c>
      <c r="E2" t="s">
        <v>108</v>
      </c>
      <c r="F2" t="s">
        <v>109</v>
      </c>
      <c r="G2" s="213">
        <v>1.02</v>
      </c>
      <c r="H2" t="s">
        <v>111</v>
      </c>
    </row>
    <row r="3" spans="2:21">
      <c r="C3" s="186">
        <v>3.3333333333333335</v>
      </c>
      <c r="D3" t="s">
        <v>107</v>
      </c>
      <c r="E3" t="s">
        <v>108</v>
      </c>
      <c r="F3" t="s">
        <v>110</v>
      </c>
      <c r="G3" t="s">
        <v>112</v>
      </c>
      <c r="H3" t="s">
        <v>113</v>
      </c>
    </row>
    <row r="4" spans="2:21">
      <c r="G4" s="186">
        <v>0.6</v>
      </c>
      <c r="H4" t="s">
        <v>114</v>
      </c>
    </row>
    <row r="5" spans="2:21">
      <c r="G5" s="186">
        <v>0.4</v>
      </c>
      <c r="H5" t="s">
        <v>115</v>
      </c>
    </row>
    <row r="6" spans="2:21">
      <c r="D6" s="109">
        <v>2007</v>
      </c>
      <c r="E6" s="109">
        <v>2008</v>
      </c>
      <c r="F6" s="109">
        <v>2009</v>
      </c>
      <c r="G6" s="109">
        <v>2010</v>
      </c>
      <c r="H6" s="109">
        <v>2011</v>
      </c>
      <c r="I6" s="109">
        <v>2012</v>
      </c>
      <c r="J6" s="8">
        <v>2013</v>
      </c>
      <c r="K6" s="8">
        <v>2014</v>
      </c>
      <c r="L6" s="8">
        <v>2015</v>
      </c>
      <c r="M6" s="8">
        <v>2016</v>
      </c>
      <c r="N6" s="8">
        <v>2017</v>
      </c>
      <c r="O6" s="8">
        <v>2018</v>
      </c>
      <c r="P6" s="8">
        <v>2019</v>
      </c>
      <c r="Q6" s="8">
        <v>2020</v>
      </c>
      <c r="R6" s="8">
        <v>2021</v>
      </c>
      <c r="S6" s="8">
        <v>2022</v>
      </c>
      <c r="T6" s="8">
        <v>2023</v>
      </c>
      <c r="U6" s="8">
        <v>2024</v>
      </c>
    </row>
    <row r="7" spans="2:21">
      <c r="B7" s="10" t="s">
        <v>117</v>
      </c>
      <c r="C7" s="11" t="s">
        <v>107</v>
      </c>
      <c r="D7" s="187">
        <v>0</v>
      </c>
      <c r="E7" s="27"/>
      <c r="F7" s="27"/>
      <c r="G7" s="188">
        <f>+D7*1.02^3</f>
        <v>0</v>
      </c>
      <c r="H7" s="27">
        <f t="shared" ref="H7:R7" si="0">+G7</f>
        <v>0</v>
      </c>
      <c r="I7" s="27">
        <f t="shared" si="0"/>
        <v>0</v>
      </c>
      <c r="J7" s="27">
        <f t="shared" si="0"/>
        <v>0</v>
      </c>
      <c r="K7" s="27">
        <f t="shared" si="0"/>
        <v>0</v>
      </c>
      <c r="L7" s="27">
        <f t="shared" si="0"/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S7" s="27">
        <f t="shared" ref="S7" si="1">+R7</f>
        <v>0</v>
      </c>
      <c r="T7" s="27">
        <f t="shared" ref="T7" si="2">+S7</f>
        <v>0</v>
      </c>
      <c r="U7" s="29">
        <f t="shared" ref="U7" si="3">+T7</f>
        <v>0</v>
      </c>
    </row>
    <row r="8" spans="2:21">
      <c r="B8" s="14" t="s">
        <v>91</v>
      </c>
      <c r="C8" s="15"/>
      <c r="D8" s="41"/>
      <c r="E8" s="41"/>
      <c r="F8" s="41"/>
      <c r="G8" s="41">
        <v>0.6</v>
      </c>
      <c r="H8" s="41">
        <v>0.6</v>
      </c>
      <c r="I8" s="41">
        <v>0.6</v>
      </c>
      <c r="J8" s="41">
        <v>0.6</v>
      </c>
      <c r="K8" s="41">
        <v>0.6</v>
      </c>
      <c r="L8" s="41">
        <v>0.6</v>
      </c>
      <c r="M8" s="41">
        <v>0.6</v>
      </c>
      <c r="N8" s="41">
        <v>0.6</v>
      </c>
      <c r="O8" s="41">
        <v>0.6</v>
      </c>
      <c r="P8" s="41">
        <v>0.6</v>
      </c>
      <c r="Q8" s="41">
        <v>0.6</v>
      </c>
      <c r="R8" s="41">
        <v>0.6</v>
      </c>
      <c r="S8" s="41">
        <v>0.6</v>
      </c>
      <c r="T8" s="41">
        <v>0.6</v>
      </c>
      <c r="U8" s="191">
        <v>0.6</v>
      </c>
    </row>
    <row r="9" spans="2:21">
      <c r="B9" s="14" t="s">
        <v>92</v>
      </c>
      <c r="C9" s="15"/>
      <c r="D9" s="41"/>
      <c r="E9" s="41"/>
      <c r="F9" s="41"/>
      <c r="G9" s="41">
        <v>0.4</v>
      </c>
      <c r="H9" s="41">
        <v>0.4</v>
      </c>
      <c r="I9" s="41">
        <v>0.4</v>
      </c>
      <c r="J9" s="41">
        <v>0.4</v>
      </c>
      <c r="K9" s="41">
        <v>0.4</v>
      </c>
      <c r="L9" s="41">
        <v>0.4</v>
      </c>
      <c r="M9" s="41">
        <v>0.4</v>
      </c>
      <c r="N9" s="41">
        <v>0.4</v>
      </c>
      <c r="O9" s="41">
        <v>0.4</v>
      </c>
      <c r="P9" s="41">
        <v>0.4</v>
      </c>
      <c r="Q9" s="41">
        <v>0.4</v>
      </c>
      <c r="R9" s="41">
        <v>0.4</v>
      </c>
      <c r="S9" s="41">
        <v>0.4</v>
      </c>
      <c r="T9" s="41">
        <v>0.4</v>
      </c>
      <c r="U9" s="191">
        <v>0.4</v>
      </c>
    </row>
    <row r="10" spans="2:21">
      <c r="B10" s="19" t="s">
        <v>118</v>
      </c>
      <c r="C10" s="20" t="s">
        <v>107</v>
      </c>
      <c r="D10" s="21"/>
      <c r="E10" s="160"/>
      <c r="F10" s="160"/>
      <c r="G10" s="160">
        <f>+G7*(G8*'Dif Contratos'!G35+'Dif Contratos'!G36*G9)</f>
        <v>0</v>
      </c>
      <c r="H10" s="160">
        <f>+H7*(H8*'Dif Contratos'!H35+'Dif Contratos'!H36*H9)</f>
        <v>0</v>
      </c>
      <c r="I10" s="160">
        <f>+I7*(I8*'Dif Contratos'!I35+'Dif Contratos'!I36*I9)</f>
        <v>0</v>
      </c>
      <c r="J10" s="160">
        <f>+J7*(J8*'Dif Contratos'!J35+'Dif Contratos'!J36*J9)</f>
        <v>0</v>
      </c>
      <c r="K10" s="160">
        <f>+K7*(K8*'Dif Contratos'!K35+'Dif Contratos'!K36*K9)</f>
        <v>0</v>
      </c>
      <c r="L10" s="160">
        <f>+L7*(L8*'Dif Contratos'!L35+'Dif Contratos'!L36*L9)</f>
        <v>0</v>
      </c>
      <c r="M10" s="160">
        <f>+M7*(M8*'Dif Contratos'!M35+'Dif Contratos'!M36*M9)</f>
        <v>0</v>
      </c>
      <c r="N10" s="160">
        <f>+N7*(N8*'Dif Contratos'!N35+'Dif Contratos'!N36*N9)</f>
        <v>0</v>
      </c>
      <c r="O10" s="160">
        <f>+O7*(O8*'Dif Contratos'!O35+'Dif Contratos'!O36*O9)</f>
        <v>0</v>
      </c>
      <c r="P10" s="160">
        <f>+P7*(P8*'Dif Contratos'!P35+'Dif Contratos'!P36*P9)</f>
        <v>0</v>
      </c>
      <c r="Q10" s="160">
        <f>+Q7*(Q8*'Dif Contratos'!Q35+'Dif Contratos'!Q36*Q9)</f>
        <v>0</v>
      </c>
      <c r="R10" s="160">
        <f>+R7*(R8*'Dif Contratos'!R35+'Dif Contratos'!R36*R9)</f>
        <v>0</v>
      </c>
      <c r="S10" s="160">
        <f>+S7*(S8*'Dif Contratos'!S35+'Dif Contratos'!S36*S9)</f>
        <v>0</v>
      </c>
      <c r="T10" s="160">
        <f>+T7*(T8*'Dif Contratos'!T35+'Dif Contratos'!T36*T9)</f>
        <v>0</v>
      </c>
      <c r="U10" s="192">
        <f>+U7*(U8*'Dif Contratos'!U35+'Dif Contratos'!U36*U9)</f>
        <v>0</v>
      </c>
    </row>
    <row r="11" spans="2:21">
      <c r="B11" s="10" t="s">
        <v>119</v>
      </c>
      <c r="C11" s="11" t="s">
        <v>107</v>
      </c>
      <c r="D11" s="193"/>
      <c r="E11" s="193">
        <f>+C2</f>
        <v>6.5</v>
      </c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27"/>
      <c r="T11" s="27"/>
      <c r="U11" s="29"/>
    </row>
    <row r="12" spans="2:21">
      <c r="B12" s="19" t="s">
        <v>120</v>
      </c>
      <c r="C12" s="7" t="s">
        <v>107</v>
      </c>
      <c r="D12" s="21"/>
      <c r="E12" s="194">
        <f>+$E$11*$G$2^(E6-2008)</f>
        <v>6.5</v>
      </c>
      <c r="F12" s="194">
        <f t="shared" ref="F12:U12" si="4">+$E$11*$G$2^(F6-2008)</f>
        <v>6.63</v>
      </c>
      <c r="G12" s="194">
        <f t="shared" si="4"/>
        <v>6.7625999999999999</v>
      </c>
      <c r="H12" s="194">
        <f t="shared" si="4"/>
        <v>6.8978519999999994</v>
      </c>
      <c r="I12" s="194">
        <f t="shared" si="4"/>
        <v>7.0358090400000002</v>
      </c>
      <c r="J12" s="194">
        <f t="shared" si="4"/>
        <v>7.1765252208000003</v>
      </c>
      <c r="K12" s="194">
        <f t="shared" si="4"/>
        <v>7.3200557252160001</v>
      </c>
      <c r="L12" s="194">
        <f t="shared" si="4"/>
        <v>7.466456839720319</v>
      </c>
      <c r="M12" s="194">
        <f t="shared" si="4"/>
        <v>7.6157859765147258</v>
      </c>
      <c r="N12" s="194">
        <f t="shared" si="4"/>
        <v>7.7681016960450204</v>
      </c>
      <c r="O12" s="194">
        <f t="shared" si="4"/>
        <v>7.9234637299659214</v>
      </c>
      <c r="P12" s="194">
        <f t="shared" si="4"/>
        <v>8.0819330045652382</v>
      </c>
      <c r="Q12" s="194">
        <f t="shared" si="4"/>
        <v>8.2435716646565442</v>
      </c>
      <c r="R12" s="194">
        <f t="shared" si="4"/>
        <v>8.4084430979496751</v>
      </c>
      <c r="S12" s="194">
        <f t="shared" si="4"/>
        <v>8.5766119599086696</v>
      </c>
      <c r="T12" s="194">
        <f t="shared" si="4"/>
        <v>8.7481441991068394</v>
      </c>
      <c r="U12" s="195">
        <f t="shared" si="4"/>
        <v>8.9231070830889792</v>
      </c>
    </row>
    <row r="13" spans="2:21">
      <c r="B13" s="45" t="s">
        <v>116</v>
      </c>
      <c r="C13" s="11"/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46">
        <v>1</v>
      </c>
      <c r="K13" s="46">
        <v>1</v>
      </c>
      <c r="L13" s="46">
        <v>1</v>
      </c>
      <c r="M13" s="46">
        <v>1</v>
      </c>
      <c r="N13" s="46">
        <v>1</v>
      </c>
      <c r="O13" s="46">
        <v>1</v>
      </c>
      <c r="P13" s="46">
        <v>1</v>
      </c>
      <c r="Q13" s="46">
        <v>1</v>
      </c>
      <c r="R13" s="46">
        <v>1</v>
      </c>
      <c r="S13" s="46">
        <v>1</v>
      </c>
      <c r="T13" s="46">
        <v>1</v>
      </c>
      <c r="U13" s="196">
        <v>1</v>
      </c>
    </row>
    <row r="14" spans="2:21">
      <c r="B14" s="19" t="s">
        <v>121</v>
      </c>
      <c r="C14" s="7" t="s">
        <v>107</v>
      </c>
      <c r="D14" s="21">
        <f>+(D10+D12)*D13</f>
        <v>0</v>
      </c>
      <c r="E14" s="21">
        <f t="shared" ref="E14:U14" si="5">+(E10+E12)*E13</f>
        <v>0</v>
      </c>
      <c r="F14" s="21">
        <f t="shared" si="5"/>
        <v>0</v>
      </c>
      <c r="G14" s="21">
        <f t="shared" si="5"/>
        <v>0</v>
      </c>
      <c r="H14" s="21">
        <f t="shared" si="5"/>
        <v>0</v>
      </c>
      <c r="I14" s="21">
        <f t="shared" si="5"/>
        <v>0</v>
      </c>
      <c r="J14" s="160">
        <f t="shared" si="5"/>
        <v>7.1765252208000003</v>
      </c>
      <c r="K14" s="160">
        <f t="shared" si="5"/>
        <v>7.3200557252160001</v>
      </c>
      <c r="L14" s="160">
        <f t="shared" si="5"/>
        <v>7.466456839720319</v>
      </c>
      <c r="M14" s="160">
        <f t="shared" si="5"/>
        <v>7.6157859765147258</v>
      </c>
      <c r="N14" s="160">
        <f t="shared" si="5"/>
        <v>7.7681016960450204</v>
      </c>
      <c r="O14" s="160">
        <f t="shared" si="5"/>
        <v>7.9234637299659214</v>
      </c>
      <c r="P14" s="160">
        <f t="shared" si="5"/>
        <v>8.0819330045652382</v>
      </c>
      <c r="Q14" s="160">
        <f t="shared" si="5"/>
        <v>8.2435716646565442</v>
      </c>
      <c r="R14" s="160">
        <f t="shared" si="5"/>
        <v>8.4084430979496751</v>
      </c>
      <c r="S14" s="160">
        <f t="shared" si="5"/>
        <v>8.5766119599086696</v>
      </c>
      <c r="T14" s="160">
        <f t="shared" si="5"/>
        <v>8.7481441991068394</v>
      </c>
      <c r="U14" s="192">
        <f t="shared" si="5"/>
        <v>8.9231070830889792</v>
      </c>
    </row>
    <row r="15" spans="2:21">
      <c r="B15" s="183" t="s">
        <v>7</v>
      </c>
      <c r="C15" s="7" t="s">
        <v>8</v>
      </c>
      <c r="D15" s="24"/>
      <c r="E15" s="254"/>
      <c r="F15" s="254"/>
      <c r="G15" s="115">
        <v>190</v>
      </c>
      <c r="H15" s="115">
        <v>190</v>
      </c>
      <c r="I15" s="236">
        <v>190</v>
      </c>
      <c r="J15" s="237">
        <v>160</v>
      </c>
      <c r="K15" s="237">
        <v>160</v>
      </c>
      <c r="L15" s="237">
        <v>160</v>
      </c>
      <c r="M15" s="237">
        <v>160</v>
      </c>
      <c r="N15" s="237">
        <v>160</v>
      </c>
      <c r="O15" s="237">
        <v>160</v>
      </c>
      <c r="P15" s="237">
        <v>160</v>
      </c>
      <c r="Q15" s="237">
        <v>160</v>
      </c>
      <c r="R15" s="237">
        <v>160</v>
      </c>
      <c r="S15" s="237">
        <v>160</v>
      </c>
      <c r="T15" s="237">
        <v>160</v>
      </c>
      <c r="U15" s="238">
        <v>160</v>
      </c>
    </row>
    <row r="16" spans="2:21">
      <c r="B16" s="30"/>
      <c r="C16" s="32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</row>
    <row r="17" spans="1:21">
      <c r="C17">
        <v>-1</v>
      </c>
    </row>
    <row r="18" spans="1:21">
      <c r="B18" t="s">
        <v>101</v>
      </c>
      <c r="G18" s="109">
        <v>2010</v>
      </c>
      <c r="H18" s="109">
        <v>2011</v>
      </c>
      <c r="I18" s="109">
        <v>2012</v>
      </c>
      <c r="J18" s="8">
        <v>2013</v>
      </c>
      <c r="K18" s="8">
        <v>2014</v>
      </c>
      <c r="L18" s="8">
        <v>2015</v>
      </c>
      <c r="M18" s="8">
        <v>2016</v>
      </c>
      <c r="N18" s="8">
        <v>2017</v>
      </c>
      <c r="O18" s="8">
        <v>2018</v>
      </c>
      <c r="P18" s="8">
        <v>2019</v>
      </c>
      <c r="Q18" s="8">
        <v>2020</v>
      </c>
      <c r="R18" s="8">
        <v>2021</v>
      </c>
      <c r="S18" s="8">
        <v>2022</v>
      </c>
      <c r="T18" s="8">
        <v>2023</v>
      </c>
      <c r="U18" s="8">
        <v>2024</v>
      </c>
    </row>
    <row r="19" spans="1:21">
      <c r="B19" t="s">
        <v>100</v>
      </c>
      <c r="G19" s="74">
        <v>988.83075326414837</v>
      </c>
      <c r="H19" s="74">
        <v>2778.5095460515222</v>
      </c>
      <c r="I19" s="74">
        <v>3004.7095489560161</v>
      </c>
      <c r="J19" s="74">
        <v>3130.3488567665154</v>
      </c>
      <c r="K19" s="74">
        <v>3089.3398073250064</v>
      </c>
      <c r="L19" s="74">
        <v>3048.6766111902762</v>
      </c>
      <c r="M19" s="74">
        <v>3213.7887465550921</v>
      </c>
      <c r="N19" s="74">
        <v>3239.9226922130329</v>
      </c>
      <c r="O19" s="74">
        <v>3239.6874016092515</v>
      </c>
      <c r="P19" s="74">
        <v>3263.3707472261995</v>
      </c>
      <c r="Q19" s="74">
        <v>3262.6310631632659</v>
      </c>
      <c r="R19" s="74">
        <v>3287.833938993288</v>
      </c>
      <c r="S19" s="74">
        <v>3132.2687038688709</v>
      </c>
      <c r="T19" s="74">
        <v>3307.1389495609583</v>
      </c>
      <c r="U19" s="74">
        <v>3305.3022483552959</v>
      </c>
    </row>
    <row r="20" spans="1:21">
      <c r="B20" t="s">
        <v>141</v>
      </c>
    </row>
    <row r="22" spans="1:21">
      <c r="B22" s="30"/>
      <c r="E22" s="255">
        <v>0.04</v>
      </c>
      <c r="F22" s="29"/>
    </row>
    <row r="23" spans="1:21">
      <c r="C23" s="11" t="s">
        <v>6</v>
      </c>
      <c r="E23" s="239" t="s">
        <v>128</v>
      </c>
      <c r="F23" s="15" t="s">
        <v>126</v>
      </c>
      <c r="G23" s="198">
        <v>2010</v>
      </c>
      <c r="H23" s="109">
        <v>2011</v>
      </c>
      <c r="I23" s="225">
        <v>2012</v>
      </c>
      <c r="J23" s="8">
        <v>2013</v>
      </c>
      <c r="K23" s="8">
        <v>2014</v>
      </c>
      <c r="L23" s="8">
        <v>2015</v>
      </c>
      <c r="M23" s="8">
        <v>2016</v>
      </c>
      <c r="N23" s="8">
        <v>2017</v>
      </c>
      <c r="O23" s="8">
        <v>2018</v>
      </c>
      <c r="P23" s="8">
        <v>2019</v>
      </c>
      <c r="Q23" s="8">
        <v>2020</v>
      </c>
      <c r="R23" s="8">
        <v>2021</v>
      </c>
      <c r="S23" s="8">
        <v>2022</v>
      </c>
      <c r="T23" s="8">
        <v>2023</v>
      </c>
      <c r="U23" s="9">
        <v>2024</v>
      </c>
    </row>
    <row r="24" spans="1:21">
      <c r="A24" s="208" t="s">
        <v>123</v>
      </c>
      <c r="B24" s="10" t="s">
        <v>142</v>
      </c>
      <c r="C24" s="11" t="s">
        <v>54</v>
      </c>
      <c r="D24" s="27"/>
      <c r="E24" s="248">
        <f>NPV($E$22,H24:U24)</f>
        <v>132400.46773419686</v>
      </c>
      <c r="F24" s="232">
        <f>SUM(G24:U24)</f>
        <v>184804.22437927281</v>
      </c>
      <c r="G24" s="261">
        <f t="shared" ref="G24:U24" si="6">+G15*G14*12</f>
        <v>0</v>
      </c>
      <c r="H24" s="219">
        <f t="shared" si="6"/>
        <v>0</v>
      </c>
      <c r="I24" s="227">
        <f t="shared" si="6"/>
        <v>0</v>
      </c>
      <c r="J24" s="200">
        <f t="shared" si="6"/>
        <v>13778.928423936002</v>
      </c>
      <c r="K24" s="200">
        <f t="shared" si="6"/>
        <v>14054.506992414719</v>
      </c>
      <c r="L24" s="200">
        <f t="shared" si="6"/>
        <v>14335.597132263014</v>
      </c>
      <c r="M24" s="200">
        <f t="shared" si="6"/>
        <v>14622.309074908275</v>
      </c>
      <c r="N24" s="200">
        <f t="shared" si="6"/>
        <v>14914.755256406439</v>
      </c>
      <c r="O24" s="200">
        <f t="shared" si="6"/>
        <v>15213.05036153457</v>
      </c>
      <c r="P24" s="200">
        <f t="shared" si="6"/>
        <v>15517.311368765257</v>
      </c>
      <c r="Q24" s="200">
        <f t="shared" si="6"/>
        <v>15827.657596140565</v>
      </c>
      <c r="R24" s="200">
        <f t="shared" si="6"/>
        <v>16144.210748063375</v>
      </c>
      <c r="S24" s="200">
        <f t="shared" si="6"/>
        <v>16467.094963024647</v>
      </c>
      <c r="T24" s="200">
        <f t="shared" si="6"/>
        <v>16796.436862285133</v>
      </c>
      <c r="U24" s="201">
        <f t="shared" si="6"/>
        <v>17132.36559953084</v>
      </c>
    </row>
    <row r="25" spans="1:21">
      <c r="A25" s="208" t="s">
        <v>124</v>
      </c>
      <c r="B25" s="14" t="s">
        <v>143</v>
      </c>
      <c r="C25" s="15" t="s">
        <v>54</v>
      </c>
      <c r="D25" s="30"/>
      <c r="E25" s="199">
        <f t="shared" ref="E25:E31" si="7">NPV($E$22,H25:U25)</f>
        <v>36401.284588031624</v>
      </c>
      <c r="F25" s="234">
        <f t="shared" ref="F25:F31" si="8">SUM(G25:U25)</f>
        <v>47013.529283331518</v>
      </c>
      <c r="G25" s="222"/>
      <c r="H25" s="218"/>
      <c r="I25" s="226"/>
      <c r="J25" s="105">
        <f>+J26+J27</f>
        <v>3521.2366759709985</v>
      </c>
      <c r="K25" s="105">
        <f t="shared" ref="K25:U25" si="9">+K26+K27</f>
        <v>3553.3048221416102</v>
      </c>
      <c r="L25" s="105">
        <f t="shared" si="9"/>
        <v>3616.3731772929459</v>
      </c>
      <c r="M25" s="105">
        <f t="shared" si="9"/>
        <v>3681.4326816417342</v>
      </c>
      <c r="N25" s="105">
        <f t="shared" si="9"/>
        <v>3748.5251796389784</v>
      </c>
      <c r="O25" s="105">
        <f t="shared" si="9"/>
        <v>3843.8514427710543</v>
      </c>
      <c r="P25" s="105">
        <f t="shared" si="9"/>
        <v>3917.1608891329597</v>
      </c>
      <c r="Q25" s="105">
        <f t="shared" si="9"/>
        <v>4016.8332210143271</v>
      </c>
      <c r="R25" s="105">
        <f t="shared" si="9"/>
        <v>4092.5416459591106</v>
      </c>
      <c r="S25" s="105">
        <f t="shared" si="9"/>
        <v>4351.0364078738203</v>
      </c>
      <c r="T25" s="105">
        <f t="shared" si="9"/>
        <v>4281.1542795078458</v>
      </c>
      <c r="U25" s="106">
        <f t="shared" si="9"/>
        <v>4390.0788603861329</v>
      </c>
    </row>
    <row r="26" spans="1:21">
      <c r="A26" s="208"/>
      <c r="B26" s="217" t="s">
        <v>144</v>
      </c>
      <c r="C26" s="214" t="s">
        <v>54</v>
      </c>
      <c r="D26" s="215"/>
      <c r="E26" s="249"/>
      <c r="F26" s="233"/>
      <c r="G26" s="220"/>
      <c r="H26" s="221"/>
      <c r="I26" s="228"/>
      <c r="J26" s="216">
        <f>+'Dif Contratos'!J116</f>
        <v>33535.283264320991</v>
      </c>
      <c r="K26" s="216">
        <f>+'Dif Contratos'!K116</f>
        <v>33157.033132559387</v>
      </c>
      <c r="L26" s="216">
        <f>+'Dif Contratos'!L116</f>
        <v>33291.333638654709</v>
      </c>
      <c r="M26" s="216">
        <f>+'Dif Contratos'!M116</f>
        <v>33428.275995593707</v>
      </c>
      <c r="N26" s="216">
        <f>+'Dif Contratos'!N116</f>
        <v>33567.912598800482</v>
      </c>
      <c r="O26" s="216">
        <f>+'Dif Contratos'!O116</f>
        <v>33710.296887191675</v>
      </c>
      <c r="P26" s="216">
        <f>+'Dif Contratos'!P116</f>
        <v>33855.483364002175</v>
      </c>
      <c r="Q26" s="216">
        <f>+'Dif Contratos'!Q116</f>
        <v>34003.527618026892</v>
      </c>
      <c r="R26" s="216">
        <f>+'Dif Contratos'!R116</f>
        <v>34154.486345286881</v>
      </c>
      <c r="S26" s="216">
        <f>+'Dif Contratos'!S116</f>
        <v>34308.417371128395</v>
      </c>
      <c r="T26" s="216">
        <f>+'Dif Contratos'!T116</f>
        <v>34465.37967276344</v>
      </c>
      <c r="U26" s="242">
        <f>+'Dif Contratos'!U116</f>
        <v>34625.433402260642</v>
      </c>
    </row>
    <row r="27" spans="1:21">
      <c r="A27" s="208"/>
      <c r="B27" s="217" t="s">
        <v>145</v>
      </c>
      <c r="C27" s="214" t="s">
        <v>54</v>
      </c>
      <c r="D27" s="215"/>
      <c r="E27" s="249"/>
      <c r="F27" s="233"/>
      <c r="G27" s="220"/>
      <c r="H27" s="221"/>
      <c r="I27" s="228"/>
      <c r="J27" s="216">
        <f>-'Dif Contratos'!J67</f>
        <v>-30014.046588349993</v>
      </c>
      <c r="K27" s="216">
        <f>-'Dif Contratos'!K67</f>
        <v>-29603.728310417777</v>
      </c>
      <c r="L27" s="216">
        <f>-'Dif Contratos'!L67</f>
        <v>-29674.960461361763</v>
      </c>
      <c r="M27" s="216">
        <f>-'Dif Contratos'!M67</f>
        <v>-29746.843313951973</v>
      </c>
      <c r="N27" s="216">
        <f>-'Dif Contratos'!N67</f>
        <v>-29819.387419161503</v>
      </c>
      <c r="O27" s="216">
        <f>-'Dif Contratos'!O67</f>
        <v>-29866.44544442062</v>
      </c>
      <c r="P27" s="216">
        <f>-'Dif Contratos'!P67</f>
        <v>-29938.322474869216</v>
      </c>
      <c r="Q27" s="216">
        <f>-'Dif Contratos'!Q67</f>
        <v>-29986.694397012565</v>
      </c>
      <c r="R27" s="216">
        <f>-'Dif Contratos'!R67</f>
        <v>-30061.944699327771</v>
      </c>
      <c r="S27" s="216">
        <f>-'Dif Contratos'!S67</f>
        <v>-29957.380963254574</v>
      </c>
      <c r="T27" s="216">
        <f>-'Dif Contratos'!T67</f>
        <v>-30184.225393255594</v>
      </c>
      <c r="U27" s="242">
        <f>-'Dif Contratos'!U67</f>
        <v>-30235.354541874509</v>
      </c>
    </row>
    <row r="28" spans="1:21">
      <c r="A28" s="208" t="s">
        <v>125</v>
      </c>
      <c r="B28" s="14" t="s">
        <v>147</v>
      </c>
      <c r="C28" s="15" t="s">
        <v>54</v>
      </c>
      <c r="D28" s="30"/>
      <c r="E28" s="266">
        <f t="shared" si="7"/>
        <v>-30075.198585957118</v>
      </c>
      <c r="F28" s="234">
        <f t="shared" si="8"/>
        <v>-38600</v>
      </c>
      <c r="G28" s="222"/>
      <c r="H28" s="218"/>
      <c r="I28" s="229">
        <v>-5000</v>
      </c>
      <c r="J28" s="206">
        <v>-2800</v>
      </c>
      <c r="K28" s="206">
        <v>-2800</v>
      </c>
      <c r="L28" s="206">
        <v>-2800</v>
      </c>
      <c r="M28" s="206">
        <v>-2800</v>
      </c>
      <c r="N28" s="206">
        <v>-2800</v>
      </c>
      <c r="O28" s="206">
        <v>-2800</v>
      </c>
      <c r="P28" s="206">
        <v>-2800</v>
      </c>
      <c r="Q28" s="206">
        <v>-2800</v>
      </c>
      <c r="R28" s="206">
        <v>-2800</v>
      </c>
      <c r="S28" s="206">
        <v>-2800</v>
      </c>
      <c r="T28" s="206">
        <v>-2800</v>
      </c>
      <c r="U28" s="207">
        <v>-2800</v>
      </c>
    </row>
    <row r="29" spans="1:21">
      <c r="A29" s="208" t="s">
        <v>146</v>
      </c>
      <c r="B29" s="243" t="s">
        <v>150</v>
      </c>
      <c r="C29" s="252" t="s">
        <v>54</v>
      </c>
      <c r="D29" s="244"/>
      <c r="E29" s="250">
        <f t="shared" si="7"/>
        <v>137137.04138308388</v>
      </c>
      <c r="F29" s="256">
        <f>+F24+F25-F28</f>
        <v>270417.75366260431</v>
      </c>
      <c r="G29" s="262">
        <f>+G24-G25-G28</f>
        <v>0</v>
      </c>
      <c r="H29" s="246">
        <f t="shared" ref="H29" si="10">+H24-H25-H28</f>
        <v>0</v>
      </c>
      <c r="I29" s="263">
        <f>+I24+I25+I28</f>
        <v>-5000</v>
      </c>
      <c r="J29" s="245">
        <f>+J24+J25+J28</f>
        <v>14500.165099907001</v>
      </c>
      <c r="K29" s="245">
        <f t="shared" ref="K29:U29" si="11">+K24+K25+K28</f>
        <v>14807.811814556328</v>
      </c>
      <c r="L29" s="245">
        <f t="shared" si="11"/>
        <v>15151.97030955596</v>
      </c>
      <c r="M29" s="245">
        <f t="shared" si="11"/>
        <v>15503.741756550007</v>
      </c>
      <c r="N29" s="245">
        <f t="shared" si="11"/>
        <v>15863.280436045417</v>
      </c>
      <c r="O29" s="245">
        <f t="shared" si="11"/>
        <v>16256.901804305624</v>
      </c>
      <c r="P29" s="245">
        <f t="shared" si="11"/>
        <v>16634.472257898218</v>
      </c>
      <c r="Q29" s="245">
        <f t="shared" si="11"/>
        <v>17044.490817154892</v>
      </c>
      <c r="R29" s="245">
        <f t="shared" si="11"/>
        <v>17436.752394022486</v>
      </c>
      <c r="S29" s="245">
        <f t="shared" si="11"/>
        <v>18018.131370898467</v>
      </c>
      <c r="T29" s="245">
        <f t="shared" si="11"/>
        <v>18277.591141792978</v>
      </c>
      <c r="U29" s="247">
        <f t="shared" si="11"/>
        <v>18722.444459916973</v>
      </c>
    </row>
    <row r="30" spans="1:21">
      <c r="A30" s="208" t="s">
        <v>127</v>
      </c>
      <c r="B30" s="52" t="s">
        <v>148</v>
      </c>
      <c r="C30" s="20" t="s">
        <v>54</v>
      </c>
      <c r="D30" s="21"/>
      <c r="E30" s="251">
        <f t="shared" si="7"/>
        <v>-114007.16765840893</v>
      </c>
      <c r="F30" s="235">
        <f t="shared" si="8"/>
        <v>-157667.57600778263</v>
      </c>
      <c r="G30" s="241"/>
      <c r="H30" s="223">
        <v>0</v>
      </c>
      <c r="I30" s="230">
        <v>0</v>
      </c>
      <c r="J30" s="107">
        <f>C37</f>
        <v>-13138.964667315218</v>
      </c>
      <c r="K30" s="107">
        <f>+J30</f>
        <v>-13138.964667315218</v>
      </c>
      <c r="L30" s="107">
        <f t="shared" ref="L30:U30" si="12">+K30</f>
        <v>-13138.964667315218</v>
      </c>
      <c r="M30" s="107">
        <f t="shared" si="12"/>
        <v>-13138.964667315218</v>
      </c>
      <c r="N30" s="107">
        <f t="shared" si="12"/>
        <v>-13138.964667315218</v>
      </c>
      <c r="O30" s="107">
        <f t="shared" si="12"/>
        <v>-13138.964667315218</v>
      </c>
      <c r="P30" s="107">
        <f t="shared" si="12"/>
        <v>-13138.964667315218</v>
      </c>
      <c r="Q30" s="107">
        <f t="shared" si="12"/>
        <v>-13138.964667315218</v>
      </c>
      <c r="R30" s="107">
        <f t="shared" si="12"/>
        <v>-13138.964667315218</v>
      </c>
      <c r="S30" s="107">
        <f t="shared" si="12"/>
        <v>-13138.964667315218</v>
      </c>
      <c r="T30" s="107">
        <f t="shared" si="12"/>
        <v>-13138.964667315218</v>
      </c>
      <c r="U30" s="108">
        <f t="shared" si="12"/>
        <v>-13138.964667315218</v>
      </c>
    </row>
    <row r="31" spans="1:21">
      <c r="A31" s="208" t="s">
        <v>151</v>
      </c>
      <c r="B31" s="56" t="s">
        <v>149</v>
      </c>
      <c r="C31" s="253" t="s">
        <v>54</v>
      </c>
      <c r="D31" s="24"/>
      <c r="E31" s="267">
        <f t="shared" si="7"/>
        <v>23129.873724674962</v>
      </c>
      <c r="F31" s="257">
        <f t="shared" si="8"/>
        <v>35550.177654821731</v>
      </c>
      <c r="G31" s="264">
        <f>+G29-G30</f>
        <v>0</v>
      </c>
      <c r="H31" s="224">
        <f t="shared" ref="H31" si="13">+H29-H30</f>
        <v>0</v>
      </c>
      <c r="I31" s="231">
        <f t="shared" ref="I31" si="14">+I29+I30</f>
        <v>-5000</v>
      </c>
      <c r="J31" s="204">
        <f>+J29+J30</f>
        <v>1361.2004325917824</v>
      </c>
      <c r="K31" s="204">
        <f t="shared" ref="K31:U31" si="15">+K29+K30</f>
        <v>1668.8471472411093</v>
      </c>
      <c r="L31" s="204">
        <f t="shared" si="15"/>
        <v>2013.0056422407415</v>
      </c>
      <c r="M31" s="204">
        <f t="shared" si="15"/>
        <v>2364.7770892347889</v>
      </c>
      <c r="N31" s="204">
        <f t="shared" si="15"/>
        <v>2724.3157687301991</v>
      </c>
      <c r="O31" s="204">
        <f t="shared" si="15"/>
        <v>3117.9371369904056</v>
      </c>
      <c r="P31" s="204">
        <f t="shared" si="15"/>
        <v>3495.5075905829999</v>
      </c>
      <c r="Q31" s="204">
        <f t="shared" si="15"/>
        <v>3905.526149839674</v>
      </c>
      <c r="R31" s="204">
        <f t="shared" si="15"/>
        <v>4297.7877267072672</v>
      </c>
      <c r="S31" s="204">
        <f t="shared" si="15"/>
        <v>4879.1667035832488</v>
      </c>
      <c r="T31" s="204">
        <f t="shared" si="15"/>
        <v>5138.62647447776</v>
      </c>
      <c r="U31" s="205">
        <f t="shared" si="15"/>
        <v>5583.4797926017545</v>
      </c>
    </row>
    <row r="32" spans="1:21">
      <c r="L32" s="203"/>
      <c r="M32" s="203"/>
      <c r="N32" s="203"/>
    </row>
    <row r="33" spans="2:25">
      <c r="C33" s="10"/>
      <c r="D33" s="268">
        <v>0.8</v>
      </c>
      <c r="E33" s="258" t="s">
        <v>154</v>
      </c>
      <c r="G33" t="s">
        <v>153</v>
      </c>
      <c r="J33" s="8">
        <v>2013</v>
      </c>
      <c r="K33" s="8">
        <v>2014</v>
      </c>
      <c r="L33" s="8">
        <v>2015</v>
      </c>
      <c r="M33" s="8">
        <v>2016</v>
      </c>
      <c r="N33" s="8">
        <v>2017</v>
      </c>
      <c r="O33" s="8">
        <v>2018</v>
      </c>
      <c r="P33" s="8">
        <v>2019</v>
      </c>
      <c r="Q33" s="8">
        <v>2020</v>
      </c>
      <c r="R33" s="8">
        <v>2021</v>
      </c>
      <c r="S33" s="8">
        <v>2022</v>
      </c>
      <c r="T33" s="8">
        <v>2023</v>
      </c>
      <c r="U33" s="9">
        <v>2024</v>
      </c>
      <c r="V33" s="9">
        <f t="shared" ref="V33:Y33" si="16">+U33+1</f>
        <v>2025</v>
      </c>
      <c r="W33" s="9">
        <f t="shared" si="16"/>
        <v>2026</v>
      </c>
      <c r="X33" s="9">
        <f t="shared" si="16"/>
        <v>2027</v>
      </c>
      <c r="Y33" s="9">
        <f t="shared" si="16"/>
        <v>2028</v>
      </c>
    </row>
    <row r="34" spans="2:25">
      <c r="B34" t="s">
        <v>135</v>
      </c>
      <c r="C34" s="259">
        <v>9.5000000000000001E-2</v>
      </c>
      <c r="D34" s="204">
        <f>+E34*D33</f>
        <v>124000</v>
      </c>
      <c r="E34" s="106">
        <v>155000</v>
      </c>
      <c r="G34" t="s">
        <v>129</v>
      </c>
      <c r="H34" s="190">
        <f>+$D$34/$D$36</f>
        <v>4960</v>
      </c>
      <c r="I34" s="190">
        <f>+H34</f>
        <v>4960</v>
      </c>
      <c r="J34" s="190">
        <f t="shared" ref="J34:U34" si="17">+I34</f>
        <v>4960</v>
      </c>
      <c r="K34" s="190">
        <f t="shared" si="17"/>
        <v>4960</v>
      </c>
      <c r="L34" s="190">
        <f t="shared" si="17"/>
        <v>4960</v>
      </c>
      <c r="M34" s="190">
        <f t="shared" si="17"/>
        <v>4960</v>
      </c>
      <c r="N34" s="190">
        <f t="shared" si="17"/>
        <v>4960</v>
      </c>
      <c r="O34" s="190">
        <f t="shared" si="17"/>
        <v>4960</v>
      </c>
      <c r="P34" s="190">
        <f t="shared" si="17"/>
        <v>4960</v>
      </c>
      <c r="Q34" s="190">
        <f t="shared" si="17"/>
        <v>4960</v>
      </c>
      <c r="R34" s="190">
        <f t="shared" si="17"/>
        <v>4960</v>
      </c>
      <c r="S34" s="190">
        <f t="shared" si="17"/>
        <v>4960</v>
      </c>
      <c r="T34" s="190">
        <f t="shared" si="17"/>
        <v>4960</v>
      </c>
      <c r="U34" s="190">
        <f t="shared" si="17"/>
        <v>4960</v>
      </c>
      <c r="V34" s="190">
        <f t="shared" ref="V34:Y34" si="18">+U34</f>
        <v>4960</v>
      </c>
      <c r="W34" s="190">
        <f t="shared" si="18"/>
        <v>4960</v>
      </c>
      <c r="X34" s="190">
        <f t="shared" si="18"/>
        <v>4960</v>
      </c>
      <c r="Y34" s="190">
        <f t="shared" si="18"/>
        <v>4960</v>
      </c>
    </row>
    <row r="35" spans="2:25">
      <c r="C35" s="14"/>
      <c r="D35" s="30"/>
      <c r="E35" s="33"/>
      <c r="G35" t="s">
        <v>130</v>
      </c>
      <c r="H35" s="190">
        <f>+$D$34</f>
        <v>124000</v>
      </c>
      <c r="I35" s="190">
        <f>+H35-H34</f>
        <v>119040</v>
      </c>
      <c r="J35" s="190">
        <f t="shared" ref="J35:U35" si="19">+I35-I34</f>
        <v>114080</v>
      </c>
      <c r="K35" s="190">
        <f t="shared" si="19"/>
        <v>109120</v>
      </c>
      <c r="L35" s="190">
        <f t="shared" si="19"/>
        <v>104160</v>
      </c>
      <c r="M35" s="190">
        <f t="shared" si="19"/>
        <v>99200</v>
      </c>
      <c r="N35" s="190">
        <f t="shared" si="19"/>
        <v>94240</v>
      </c>
      <c r="O35" s="190">
        <f t="shared" si="19"/>
        <v>89280</v>
      </c>
      <c r="P35" s="190">
        <f t="shared" si="19"/>
        <v>84320</v>
      </c>
      <c r="Q35" s="190">
        <f t="shared" si="19"/>
        <v>79360</v>
      </c>
      <c r="R35" s="190">
        <f t="shared" si="19"/>
        <v>74400</v>
      </c>
      <c r="S35" s="190">
        <f t="shared" si="19"/>
        <v>69440</v>
      </c>
      <c r="T35" s="190">
        <f t="shared" si="19"/>
        <v>64480</v>
      </c>
      <c r="U35" s="190">
        <f t="shared" si="19"/>
        <v>59520</v>
      </c>
      <c r="V35" s="190">
        <f t="shared" ref="V35:Y35" si="20">+U35-U34</f>
        <v>54560</v>
      </c>
      <c r="W35" s="190">
        <f t="shared" si="20"/>
        <v>49600</v>
      </c>
      <c r="X35" s="190">
        <f t="shared" si="20"/>
        <v>44640</v>
      </c>
      <c r="Y35" s="190">
        <f t="shared" si="20"/>
        <v>39680</v>
      </c>
    </row>
    <row r="36" spans="2:25">
      <c r="C36" s="14"/>
      <c r="D36" s="32">
        <v>25</v>
      </c>
      <c r="E36" s="240" t="s">
        <v>152</v>
      </c>
      <c r="F36" s="209">
        <v>4.8000000000000001E-2</v>
      </c>
      <c r="G36" t="s">
        <v>131</v>
      </c>
      <c r="H36" s="190">
        <f>+H35*$F$36</f>
        <v>5952</v>
      </c>
      <c r="I36" s="190">
        <f>+I35*$F$36</f>
        <v>5713.92</v>
      </c>
      <c r="J36" s="190">
        <f t="shared" ref="J36:U36" si="21">+J35*$F$36</f>
        <v>5475.84</v>
      </c>
      <c r="K36" s="190">
        <f t="shared" si="21"/>
        <v>5237.76</v>
      </c>
      <c r="L36" s="190">
        <f t="shared" si="21"/>
        <v>4999.68</v>
      </c>
      <c r="M36" s="190">
        <f t="shared" si="21"/>
        <v>4761.6000000000004</v>
      </c>
      <c r="N36" s="190">
        <f t="shared" si="21"/>
        <v>4523.5200000000004</v>
      </c>
      <c r="O36" s="190">
        <f t="shared" si="21"/>
        <v>4285.4400000000005</v>
      </c>
      <c r="P36" s="190">
        <f t="shared" si="21"/>
        <v>4047.36</v>
      </c>
      <c r="Q36" s="190">
        <f t="shared" si="21"/>
        <v>3809.28</v>
      </c>
      <c r="R36" s="190">
        <f t="shared" si="21"/>
        <v>3571.2000000000003</v>
      </c>
      <c r="S36" s="190">
        <f t="shared" si="21"/>
        <v>3333.12</v>
      </c>
      <c r="T36" s="190">
        <f t="shared" si="21"/>
        <v>3095.04</v>
      </c>
      <c r="U36" s="190">
        <f t="shared" si="21"/>
        <v>2856.96</v>
      </c>
      <c r="V36" s="190">
        <f t="shared" ref="V36" si="22">+V35*$F$36</f>
        <v>2618.88</v>
      </c>
      <c r="W36" s="190">
        <f t="shared" ref="W36" si="23">+W35*$F$36</f>
        <v>2380.8000000000002</v>
      </c>
      <c r="X36" s="190">
        <f t="shared" ref="X36" si="24">+X35*$F$36</f>
        <v>2142.7200000000003</v>
      </c>
      <c r="Y36" s="190">
        <f t="shared" ref="Y36" si="25">+Y35*$F$36</f>
        <v>1904.64</v>
      </c>
    </row>
    <row r="37" spans="2:25">
      <c r="C37" s="260">
        <f>PMT(C34,D36,D34)</f>
        <v>-13138.964667315218</v>
      </c>
      <c r="D37" s="21"/>
      <c r="E37" s="22"/>
      <c r="G37" t="s">
        <v>132</v>
      </c>
      <c r="J37" s="190">
        <f>-J30</f>
        <v>13138.964667315218</v>
      </c>
      <c r="K37" s="190">
        <f t="shared" ref="K37:Y37" si="26">-K30</f>
        <v>13138.964667315218</v>
      </c>
      <c r="L37" s="190">
        <f t="shared" si="26"/>
        <v>13138.964667315218</v>
      </c>
      <c r="M37" s="190">
        <f t="shared" si="26"/>
        <v>13138.964667315218</v>
      </c>
      <c r="N37" s="190">
        <f t="shared" si="26"/>
        <v>13138.964667315218</v>
      </c>
      <c r="O37" s="190">
        <f t="shared" si="26"/>
        <v>13138.964667315218</v>
      </c>
      <c r="P37" s="190">
        <f t="shared" si="26"/>
        <v>13138.964667315218</v>
      </c>
      <c r="Q37" s="190">
        <f t="shared" si="26"/>
        <v>13138.964667315218</v>
      </c>
      <c r="R37" s="190">
        <f t="shared" si="26"/>
        <v>13138.964667315218</v>
      </c>
      <c r="S37" s="190">
        <f t="shared" si="26"/>
        <v>13138.964667315218</v>
      </c>
      <c r="T37" s="190">
        <f t="shared" si="26"/>
        <v>13138.964667315218</v>
      </c>
      <c r="U37" s="190">
        <f t="shared" si="26"/>
        <v>13138.964667315218</v>
      </c>
      <c r="V37" s="190">
        <f t="shared" si="26"/>
        <v>0</v>
      </c>
      <c r="W37" s="190">
        <f t="shared" si="26"/>
        <v>0</v>
      </c>
      <c r="X37" s="190">
        <f t="shared" si="26"/>
        <v>0</v>
      </c>
      <c r="Y37" s="190">
        <f t="shared" si="26"/>
        <v>0</v>
      </c>
    </row>
    <row r="38" spans="2:25">
      <c r="E38" t="s">
        <v>136</v>
      </c>
      <c r="G38" t="s">
        <v>133</v>
      </c>
      <c r="J38" s="190">
        <f>+J37-J36-J34</f>
        <v>2703.1246673152182</v>
      </c>
      <c r="K38" s="190">
        <f t="shared" ref="K38:U38" si="27">+K37-K36-K34</f>
        <v>2941.2046673152181</v>
      </c>
      <c r="L38" s="190">
        <f t="shared" si="27"/>
        <v>3179.284667315218</v>
      </c>
      <c r="M38" s="190">
        <f t="shared" si="27"/>
        <v>3417.364667315218</v>
      </c>
      <c r="N38" s="190">
        <f t="shared" si="27"/>
        <v>3655.4446673152179</v>
      </c>
      <c r="O38" s="190">
        <f t="shared" si="27"/>
        <v>3893.5246673152178</v>
      </c>
      <c r="P38" s="190">
        <f t="shared" si="27"/>
        <v>4131.6046673152177</v>
      </c>
      <c r="Q38" s="190">
        <f t="shared" si="27"/>
        <v>4369.6846673152177</v>
      </c>
      <c r="R38" s="190">
        <f t="shared" si="27"/>
        <v>4607.7646673152176</v>
      </c>
      <c r="S38" s="190">
        <f t="shared" si="27"/>
        <v>4845.8446673152175</v>
      </c>
      <c r="T38" s="190">
        <f t="shared" si="27"/>
        <v>5083.9246673152193</v>
      </c>
      <c r="U38" s="190">
        <f t="shared" si="27"/>
        <v>5322.0046673152174</v>
      </c>
      <c r="V38" s="190">
        <f t="shared" ref="V38" si="28">+V37-V36-V34</f>
        <v>-7578.88</v>
      </c>
      <c r="W38" s="190">
        <f t="shared" ref="W38" si="29">+W37-W36-W34</f>
        <v>-7340.8</v>
      </c>
      <c r="X38" s="190">
        <f t="shared" ref="X38" si="30">+X37-X36-X34</f>
        <v>-7102.72</v>
      </c>
      <c r="Y38" s="190">
        <f t="shared" ref="Y38" si="31">+Y37-Y36-Y34</f>
        <v>-6864.64</v>
      </c>
    </row>
    <row r="39" spans="2:25">
      <c r="C39">
        <f>350/400*160</f>
        <v>140</v>
      </c>
      <c r="E39" s="265">
        <f>SUM(J39:U39)</f>
        <v>28754.384498964384</v>
      </c>
      <c r="F39" s="202">
        <f>+C34</f>
        <v>9.5000000000000001E-2</v>
      </c>
      <c r="G39" t="s">
        <v>134</v>
      </c>
      <c r="J39" s="197">
        <f t="shared" ref="J39:U39" si="32">+J38/(1+$F$39)^(J23-$J$23)</f>
        <v>2703.1246673152182</v>
      </c>
      <c r="K39" s="197">
        <f t="shared" si="32"/>
        <v>2686.0316596486009</v>
      </c>
      <c r="L39" s="197">
        <f t="shared" si="32"/>
        <v>2651.5582805322806</v>
      </c>
      <c r="M39" s="197">
        <f t="shared" si="32"/>
        <v>2602.8489603778853</v>
      </c>
      <c r="N39" s="197">
        <f t="shared" si="32"/>
        <v>2542.6333418363156</v>
      </c>
      <c r="O39" s="197">
        <f t="shared" si="32"/>
        <v>2473.274584135982</v>
      </c>
      <c r="P39" s="197">
        <f t="shared" si="32"/>
        <v>2396.8124079326822</v>
      </c>
      <c r="Q39" s="197">
        <f t="shared" si="32"/>
        <v>2315.001429692119</v>
      </c>
      <c r="R39" s="197">
        <f t="shared" si="32"/>
        <v>2229.3452789500284</v>
      </c>
      <c r="S39" s="197">
        <f t="shared" si="32"/>
        <v>2141.1269416471246</v>
      </c>
      <c r="T39" s="197">
        <f t="shared" si="32"/>
        <v>2051.4357275763014</v>
      </c>
      <c r="U39" s="197">
        <f t="shared" si="32"/>
        <v>1961.1912193198427</v>
      </c>
    </row>
    <row r="40" spans="2:25">
      <c r="C40">
        <f>250+400</f>
        <v>650</v>
      </c>
      <c r="D40">
        <f>+D34*1.09</f>
        <v>135160</v>
      </c>
    </row>
    <row r="41" spans="2:25">
      <c r="C41">
        <f>+C40/2</f>
        <v>325</v>
      </c>
      <c r="G41" t="s">
        <v>138</v>
      </c>
      <c r="J41" s="210">
        <v>12601.911111111111</v>
      </c>
      <c r="K41" s="210">
        <v>12259.777777777777</v>
      </c>
      <c r="L41" s="210">
        <v>11917.644444444442</v>
      </c>
      <c r="M41" s="210">
        <v>11575.511111111111</v>
      </c>
      <c r="N41" s="210">
        <v>11233.377777777776</v>
      </c>
      <c r="O41" s="210">
        <v>10891.244444444443</v>
      </c>
      <c r="P41" s="210">
        <v>10549.111111111109</v>
      </c>
      <c r="Q41" s="210">
        <v>10206.977777777776</v>
      </c>
      <c r="R41" s="210">
        <v>9864.8444444444431</v>
      </c>
      <c r="S41" s="210">
        <v>9522.711111111108</v>
      </c>
      <c r="T41" s="210">
        <v>9180.5777777777766</v>
      </c>
      <c r="U41" s="210">
        <v>8838.4444444444416</v>
      </c>
      <c r="V41" s="210">
        <v>8496.3111111111084</v>
      </c>
      <c r="W41" s="210">
        <v>8154.1777777777752</v>
      </c>
      <c r="X41" s="210">
        <v>7812.044444444442</v>
      </c>
      <c r="Y41" s="210">
        <v>7469.9111111111088</v>
      </c>
    </row>
    <row r="42" spans="2:25">
      <c r="G42" t="s">
        <v>132</v>
      </c>
      <c r="J42" s="190">
        <f>+J37</f>
        <v>13138.964667315218</v>
      </c>
      <c r="K42" s="190">
        <f t="shared" ref="K42:U42" si="33">+K37</f>
        <v>13138.964667315218</v>
      </c>
      <c r="L42" s="190">
        <f t="shared" si="33"/>
        <v>13138.964667315218</v>
      </c>
      <c r="M42" s="190">
        <f t="shared" si="33"/>
        <v>13138.964667315218</v>
      </c>
      <c r="N42" s="190">
        <f t="shared" si="33"/>
        <v>13138.964667315218</v>
      </c>
      <c r="O42" s="190">
        <f t="shared" si="33"/>
        <v>13138.964667315218</v>
      </c>
      <c r="P42" s="190">
        <f t="shared" si="33"/>
        <v>13138.964667315218</v>
      </c>
      <c r="Q42" s="190">
        <f t="shared" si="33"/>
        <v>13138.964667315218</v>
      </c>
      <c r="R42" s="190">
        <f t="shared" si="33"/>
        <v>13138.964667315218</v>
      </c>
      <c r="S42" s="190">
        <f t="shared" si="33"/>
        <v>13138.964667315218</v>
      </c>
      <c r="T42" s="190">
        <f t="shared" si="33"/>
        <v>13138.964667315218</v>
      </c>
      <c r="U42" s="190">
        <f t="shared" si="33"/>
        <v>13138.964667315218</v>
      </c>
    </row>
    <row r="43" spans="2:25">
      <c r="C43">
        <v>18</v>
      </c>
      <c r="E43">
        <f>+E34/0.25</f>
        <v>620000</v>
      </c>
      <c r="F43">
        <f>+E43/2</f>
        <v>310000</v>
      </c>
    </row>
    <row r="44" spans="2:25">
      <c r="C44">
        <f>+C43/400*160</f>
        <v>7.1999999999999993</v>
      </c>
    </row>
    <row r="46" spans="2:25">
      <c r="C46">
        <v>330</v>
      </c>
      <c r="D46">
        <v>160</v>
      </c>
    </row>
    <row r="47" spans="2:25">
      <c r="D47">
        <v>400</v>
      </c>
      <c r="E47">
        <f>+C46/D47*D46</f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1"/>
  <sheetViews>
    <sheetView tabSelected="1" topLeftCell="I1" workbookViewId="0">
      <selection activeCell="W16" sqref="W16"/>
    </sheetView>
  </sheetViews>
  <sheetFormatPr baseColWidth="10" defaultRowHeight="15"/>
  <cols>
    <col min="3" max="3" width="23" customWidth="1"/>
    <col min="4" max="5" width="11.42578125" customWidth="1"/>
    <col min="7" max="9" width="11.42578125" customWidth="1"/>
    <col min="17" max="17" width="23.85546875" bestFit="1" customWidth="1"/>
  </cols>
  <sheetData>
    <row r="1" spans="1:23">
      <c r="A1" t="s">
        <v>122</v>
      </c>
    </row>
    <row r="2" spans="1:23">
      <c r="C2" t="s">
        <v>177</v>
      </c>
      <c r="Q2" s="341" t="s">
        <v>217</v>
      </c>
    </row>
    <row r="3" spans="1:23">
      <c r="C3" s="2" t="s">
        <v>178</v>
      </c>
      <c r="D3" s="90" t="s">
        <v>173</v>
      </c>
      <c r="E3" s="90" t="s">
        <v>186</v>
      </c>
      <c r="F3" s="8" t="s">
        <v>187</v>
      </c>
      <c r="G3" s="9" t="s">
        <v>188</v>
      </c>
      <c r="H3" s="9" t="s">
        <v>122</v>
      </c>
      <c r="Q3" s="2" t="s">
        <v>178</v>
      </c>
      <c r="R3" s="90" t="s">
        <v>173</v>
      </c>
      <c r="S3" s="90" t="s">
        <v>186</v>
      </c>
      <c r="T3" s="8" t="s">
        <v>187</v>
      </c>
      <c r="U3" s="9" t="s">
        <v>188</v>
      </c>
      <c r="V3" s="9" t="s">
        <v>122</v>
      </c>
    </row>
    <row r="4" spans="1:23">
      <c r="C4" s="274" t="s">
        <v>176</v>
      </c>
      <c r="D4" s="284">
        <f>+'Dif Contratos'!H161/1000</f>
        <v>14.054506992414719</v>
      </c>
      <c r="E4" s="284">
        <f>+E10/400*160</f>
        <v>11.125736210226595</v>
      </c>
      <c r="F4" s="276">
        <f t="shared" ref="F4:H4" si="0">+F10/400*160</f>
        <v>13.251531504902761</v>
      </c>
      <c r="G4" s="280">
        <f t="shared" si="0"/>
        <v>15.377326799578924</v>
      </c>
      <c r="H4" s="280">
        <f t="shared" si="0"/>
        <v>13.927302547354135</v>
      </c>
      <c r="I4" s="280">
        <f t="shared" ref="I4" si="1">+I10/400*160</f>
        <v>13.138964667315218</v>
      </c>
      <c r="J4" s="190"/>
      <c r="Q4" s="274" t="s">
        <v>176</v>
      </c>
      <c r="R4" s="284">
        <f>+'Dif Contratos'!A161/1000</f>
        <v>122.3941754093688</v>
      </c>
      <c r="S4" s="284"/>
      <c r="T4" s="276">
        <f>+Referen!H6+Referen!H10</f>
        <v>106.61529071112058</v>
      </c>
      <c r="U4" s="280"/>
      <c r="V4" s="280">
        <f>+'Dif Contratos'!A172/1000</f>
        <v>111.63275485145411</v>
      </c>
    </row>
    <row r="5" spans="1:23">
      <c r="C5" s="14" t="s">
        <v>182</v>
      </c>
      <c r="D5" s="199"/>
      <c r="E5" s="199">
        <v>250</v>
      </c>
      <c r="F5" s="105"/>
      <c r="G5" s="106">
        <v>400</v>
      </c>
      <c r="H5" s="106">
        <f>155*2</f>
        <v>310</v>
      </c>
      <c r="I5" s="106">
        <f>155*2</f>
        <v>310</v>
      </c>
      <c r="J5" s="190"/>
      <c r="Q5" s="14" t="s">
        <v>182</v>
      </c>
      <c r="R5" s="199"/>
      <c r="S5" s="199"/>
      <c r="T5" s="105"/>
      <c r="U5" s="106"/>
      <c r="V5" s="106"/>
    </row>
    <row r="6" spans="1:23">
      <c r="C6" s="14" t="s">
        <v>180</v>
      </c>
      <c r="D6" s="199"/>
      <c r="E6" s="306">
        <v>2010</v>
      </c>
      <c r="F6" s="298">
        <v>2010</v>
      </c>
      <c r="G6" s="299">
        <v>2013</v>
      </c>
      <c r="H6" s="299">
        <v>2010</v>
      </c>
      <c r="I6" s="299">
        <v>2010</v>
      </c>
      <c r="J6" s="190"/>
      <c r="Q6" s="14" t="s">
        <v>180</v>
      </c>
      <c r="R6" s="199"/>
      <c r="S6" s="306"/>
      <c r="T6" s="298"/>
      <c r="U6" s="299"/>
      <c r="V6" s="299"/>
    </row>
    <row r="7" spans="1:23">
      <c r="C7" s="14" t="s">
        <v>189</v>
      </c>
      <c r="D7" s="199"/>
      <c r="E7" s="307">
        <v>0.05</v>
      </c>
      <c r="F7" s="304">
        <v>0.05</v>
      </c>
      <c r="G7" s="305">
        <v>0.05</v>
      </c>
      <c r="H7" s="305">
        <v>0.06</v>
      </c>
      <c r="I7" s="296">
        <v>0</v>
      </c>
      <c r="J7" s="190"/>
      <c r="Q7" s="14" t="s">
        <v>189</v>
      </c>
      <c r="R7" s="199"/>
      <c r="S7" s="307"/>
      <c r="T7" s="304"/>
      <c r="U7" s="305"/>
      <c r="V7" s="305"/>
    </row>
    <row r="8" spans="1:23">
      <c r="B8" s="202">
        <v>0.05</v>
      </c>
      <c r="C8" s="14" t="s">
        <v>181</v>
      </c>
      <c r="D8" s="199"/>
      <c r="E8" s="96">
        <f>+E5/(1+$B$8)^(E6-2010)*(1+E7)</f>
        <v>262.5</v>
      </c>
      <c r="F8" s="78">
        <f>+(G8+E8)/2</f>
        <v>312.65589569161</v>
      </c>
      <c r="G8" s="300">
        <f t="shared" ref="F8:I8" si="2">+G5/(1+$B$8)^(G6-2010)*(1+G7)</f>
        <v>362.81179138321994</v>
      </c>
      <c r="H8" s="300">
        <f t="shared" si="2"/>
        <v>328.6</v>
      </c>
      <c r="I8" s="300">
        <f t="shared" si="2"/>
        <v>310</v>
      </c>
      <c r="J8" s="190"/>
      <c r="L8">
        <f>+F8/(1+F7)</f>
        <v>297.76751970629522</v>
      </c>
      <c r="Q8" s="14" t="s">
        <v>181</v>
      </c>
      <c r="R8" s="199"/>
      <c r="S8" s="96"/>
      <c r="T8" s="78"/>
      <c r="U8" s="300"/>
      <c r="V8" s="300"/>
    </row>
    <row r="9" spans="1:23">
      <c r="B9">
        <v>25</v>
      </c>
      <c r="C9" s="14" t="s">
        <v>179</v>
      </c>
      <c r="D9" s="199"/>
      <c r="E9" s="337">
        <v>9.5000000000000001E-2</v>
      </c>
      <c r="F9" s="338">
        <v>9.5000000000000001E-2</v>
      </c>
      <c r="G9" s="339">
        <v>9.5000000000000001E-2</v>
      </c>
      <c r="H9" s="339">
        <v>9.5000000000000001E-2</v>
      </c>
      <c r="I9" s="339">
        <v>9.5000000000000001E-2</v>
      </c>
      <c r="J9" s="190"/>
      <c r="Q9" s="14" t="s">
        <v>179</v>
      </c>
      <c r="R9" s="199"/>
      <c r="S9" s="308"/>
      <c r="T9" s="142"/>
      <c r="U9" s="301"/>
      <c r="V9" s="301"/>
    </row>
    <row r="10" spans="1:23">
      <c r="C10" s="19" t="s">
        <v>183</v>
      </c>
      <c r="D10" s="19"/>
      <c r="E10" s="309">
        <f>-PMT(E9,$B$9,E8)</f>
        <v>27.81434052556649</v>
      </c>
      <c r="F10" s="302">
        <f>-PMT(F9,$B$9,F8)</f>
        <v>33.128828762256902</v>
      </c>
      <c r="G10" s="303">
        <f t="shared" ref="G10:I10" si="3">-PMT(G9,$B$9,G8)</f>
        <v>38.44331699894731</v>
      </c>
      <c r="H10" s="303">
        <f t="shared" si="3"/>
        <v>34.818256368385335</v>
      </c>
      <c r="I10" s="303">
        <f t="shared" si="3"/>
        <v>32.847411668288046</v>
      </c>
      <c r="J10" s="190">
        <v>0.4</v>
      </c>
      <c r="Q10" s="19" t="s">
        <v>183</v>
      </c>
      <c r="R10" s="19"/>
      <c r="S10" s="309"/>
      <c r="T10" s="302"/>
      <c r="U10" s="303"/>
      <c r="V10" s="303"/>
    </row>
    <row r="11" spans="1:23">
      <c r="C11" s="10" t="s">
        <v>171</v>
      </c>
      <c r="D11" s="248">
        <f>+'Dif Contratos'!H162/1000</f>
        <v>7.224176766160415</v>
      </c>
      <c r="E11" s="248">
        <f>+E12/800*160</f>
        <v>6.4252347599999995</v>
      </c>
      <c r="F11" s="200">
        <f>+F12/800*160</f>
        <v>6.4252347599999995</v>
      </c>
      <c r="G11" s="201">
        <f>+D11</f>
        <v>7.224176766160415</v>
      </c>
      <c r="H11" s="201">
        <f>+'Dif Contratos'!I180/1000</f>
        <v>3.6798249820430344</v>
      </c>
      <c r="I11" s="190"/>
      <c r="J11" s="190"/>
      <c r="Q11" s="10" t="s">
        <v>171</v>
      </c>
      <c r="R11" s="248">
        <f>+'Dif Contratos'!A162/1000</f>
        <v>61.075521775892398</v>
      </c>
      <c r="S11" s="248"/>
      <c r="T11" s="200">
        <v>52.8</v>
      </c>
      <c r="U11" s="201"/>
      <c r="V11" s="201">
        <f>+'Dif Contratos'!A180/1000</f>
        <v>30.613677444614499</v>
      </c>
    </row>
    <row r="12" spans="1:23">
      <c r="C12" s="19" t="s">
        <v>184</v>
      </c>
      <c r="D12" s="251"/>
      <c r="E12" s="251">
        <f>21*1.4*(1.03)^3</f>
        <v>32.126173799999997</v>
      </c>
      <c r="F12" s="107">
        <f>21*1.4*(1.03)^3</f>
        <v>32.126173799999997</v>
      </c>
      <c r="G12" s="108"/>
      <c r="H12" s="108"/>
      <c r="I12" s="190"/>
      <c r="J12" s="190"/>
      <c r="Q12" s="19" t="s">
        <v>184</v>
      </c>
      <c r="R12" s="251"/>
      <c r="S12" s="251"/>
      <c r="T12" s="107"/>
      <c r="U12" s="108"/>
      <c r="V12" s="108"/>
    </row>
    <row r="13" spans="1:23">
      <c r="C13" s="183" t="s">
        <v>172</v>
      </c>
      <c r="D13" s="281">
        <f>+'Dif Contratos'!H163/1000</f>
        <v>25.932856366398973</v>
      </c>
      <c r="E13" s="281">
        <f>+D13</f>
        <v>25.932856366398973</v>
      </c>
      <c r="F13" s="204">
        <f>+E13</f>
        <v>25.932856366398973</v>
      </c>
      <c r="G13" s="205">
        <f>+D13</f>
        <v>25.932856366398973</v>
      </c>
      <c r="H13" s="205">
        <f>+D13</f>
        <v>25.932856366398973</v>
      </c>
      <c r="I13" s="190"/>
      <c r="J13" s="190"/>
      <c r="Q13" s="183" t="s">
        <v>172</v>
      </c>
      <c r="R13" s="281">
        <f>+'Dif Contratos'!A163/1000</f>
        <v>210.41207739386658</v>
      </c>
      <c r="S13" s="281"/>
      <c r="T13" s="204">
        <f>+R13</f>
        <v>210.41207739386658</v>
      </c>
      <c r="U13" s="205"/>
      <c r="V13" s="205">
        <f>+'Dif Contratos'!A175/1000</f>
        <v>209.76814697020569</v>
      </c>
    </row>
    <row r="14" spans="1:23">
      <c r="C14" s="183" t="s">
        <v>126</v>
      </c>
      <c r="D14" s="281">
        <f>+D13+D11+D4</f>
        <v>47.211540124974107</v>
      </c>
      <c r="E14" s="281">
        <f t="shared" ref="E14:H14" si="4">+E13+E11+E4</f>
        <v>43.483827336625566</v>
      </c>
      <c r="F14" s="204">
        <f>+F13+F11+F4</f>
        <v>45.609622631301733</v>
      </c>
      <c r="G14" s="205">
        <f t="shared" si="4"/>
        <v>48.534359932138315</v>
      </c>
      <c r="H14" s="205">
        <f t="shared" si="4"/>
        <v>43.539983895796141</v>
      </c>
      <c r="I14" s="190"/>
      <c r="J14" s="190"/>
      <c r="Q14" s="183" t="s">
        <v>126</v>
      </c>
      <c r="R14" s="281">
        <f>+R13+R11+R4</f>
        <v>393.88177457912781</v>
      </c>
      <c r="S14" s="281"/>
      <c r="T14" s="204">
        <f>+T13+T11+T4</f>
        <v>369.82736810498716</v>
      </c>
      <c r="U14" s="205"/>
      <c r="V14" s="205">
        <f t="shared" ref="V14" si="5">+V13+V11+V4</f>
        <v>352.01457926627427</v>
      </c>
      <c r="W14" s="190"/>
    </row>
    <row r="15" spans="1:23">
      <c r="D15" s="190"/>
      <c r="E15" s="190"/>
      <c r="F15" s="190">
        <f>+D14-F14</f>
        <v>1.6019174936723743</v>
      </c>
      <c r="G15" s="190"/>
      <c r="H15" s="190">
        <f>+F14-H14</f>
        <v>2.0696387355055919</v>
      </c>
      <c r="I15" s="190"/>
      <c r="J15" s="190"/>
      <c r="Q15" s="47" t="s">
        <v>216</v>
      </c>
      <c r="R15" s="190">
        <f>+R14-T14</f>
        <v>24.054406474140649</v>
      </c>
      <c r="T15" s="190">
        <f>+T14-T14</f>
        <v>0</v>
      </c>
      <c r="U15" s="190"/>
      <c r="V15" s="190">
        <f>+V14-T14</f>
        <v>-17.812788838712891</v>
      </c>
    </row>
    <row r="16" spans="1:23">
      <c r="C16" s="297" t="s">
        <v>185</v>
      </c>
      <c r="D16" s="190"/>
      <c r="E16" s="190">
        <f>+E11/160*400</f>
        <v>16.063086899999998</v>
      </c>
      <c r="F16" s="190"/>
      <c r="G16" s="190"/>
      <c r="H16" s="190">
        <f>+H14-D14</f>
        <v>-3.6715562291779662</v>
      </c>
      <c r="I16" s="190"/>
      <c r="J16" s="190"/>
    </row>
    <row r="17" spans="3:18">
      <c r="I17" s="190"/>
      <c r="J17" s="190"/>
      <c r="R17" s="190"/>
    </row>
    <row r="18" spans="3:18">
      <c r="I18" s="190"/>
      <c r="J18" s="190">
        <f>21*1.4</f>
        <v>29.4</v>
      </c>
    </row>
    <row r="19" spans="3:18">
      <c r="D19" s="190"/>
      <c r="E19" s="190"/>
      <c r="F19" s="190"/>
      <c r="G19" s="190"/>
      <c r="H19" s="190"/>
      <c r="I19" s="190"/>
      <c r="J19" s="190">
        <f>+J18/800*140</f>
        <v>5.1449999999999996</v>
      </c>
    </row>
    <row r="20" spans="3:18">
      <c r="C20" s="297" t="s">
        <v>185</v>
      </c>
      <c r="D20" s="190"/>
      <c r="E20" s="190"/>
      <c r="F20" s="190"/>
      <c r="G20" s="190"/>
      <c r="H20" s="190"/>
      <c r="I20" s="190"/>
      <c r="J20" s="190"/>
    </row>
    <row r="21" spans="3:18">
      <c r="E21">
        <f>16/400*160</f>
        <v>6.4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:AI15"/>
  <sheetViews>
    <sheetView showGridLines="0" topLeftCell="B1" workbookViewId="0">
      <selection activeCell="H6" sqref="H6"/>
    </sheetView>
  </sheetViews>
  <sheetFormatPr baseColWidth="10" defaultRowHeight="15"/>
  <cols>
    <col min="3" max="3" width="15.5703125" customWidth="1"/>
    <col min="9" max="9" width="24.85546875" customWidth="1"/>
  </cols>
  <sheetData>
    <row r="3" spans="3:35">
      <c r="E3" s="327" t="s">
        <v>201</v>
      </c>
      <c r="F3" s="24">
        <v>2011</v>
      </c>
      <c r="G3" s="24"/>
      <c r="H3" s="25"/>
      <c r="L3">
        <v>1</v>
      </c>
      <c r="M3">
        <v>2</v>
      </c>
      <c r="N3">
        <v>3</v>
      </c>
      <c r="O3">
        <v>4</v>
      </c>
      <c r="P3">
        <v>5</v>
      </c>
      <c r="Q3">
        <v>6</v>
      </c>
      <c r="R3">
        <v>7</v>
      </c>
      <c r="S3">
        <v>8</v>
      </c>
      <c r="T3">
        <v>9</v>
      </c>
      <c r="U3">
        <v>10</v>
      </c>
      <c r="V3">
        <v>11</v>
      </c>
      <c r="W3">
        <v>12</v>
      </c>
    </row>
    <row r="4" spans="3:35">
      <c r="D4" s="183" t="s">
        <v>207</v>
      </c>
      <c r="E4" s="89">
        <v>400</v>
      </c>
      <c r="F4" s="340">
        <v>160</v>
      </c>
      <c r="G4" s="326">
        <v>0.05</v>
      </c>
      <c r="H4" s="295">
        <v>0.48</v>
      </c>
      <c r="J4">
        <v>1</v>
      </c>
      <c r="K4">
        <f>+J4+1</f>
        <v>2</v>
      </c>
      <c r="L4">
        <f t="shared" ref="L4:AF4" si="0">+K4+1</f>
        <v>3</v>
      </c>
      <c r="M4">
        <f t="shared" si="0"/>
        <v>4</v>
      </c>
      <c r="N4">
        <f t="shared" si="0"/>
        <v>5</v>
      </c>
      <c r="O4">
        <f t="shared" si="0"/>
        <v>6</v>
      </c>
      <c r="P4">
        <f t="shared" si="0"/>
        <v>7</v>
      </c>
      <c r="Q4">
        <f t="shared" si="0"/>
        <v>8</v>
      </c>
      <c r="R4">
        <f t="shared" si="0"/>
        <v>9</v>
      </c>
      <c r="S4">
        <f t="shared" si="0"/>
        <v>10</v>
      </c>
      <c r="T4">
        <f t="shared" si="0"/>
        <v>11</v>
      </c>
      <c r="U4">
        <f t="shared" si="0"/>
        <v>12</v>
      </c>
      <c r="V4">
        <f t="shared" si="0"/>
        <v>13</v>
      </c>
      <c r="W4">
        <f t="shared" si="0"/>
        <v>14</v>
      </c>
      <c r="X4">
        <f t="shared" si="0"/>
        <v>15</v>
      </c>
      <c r="Y4">
        <f t="shared" si="0"/>
        <v>16</v>
      </c>
      <c r="Z4">
        <f t="shared" si="0"/>
        <v>17</v>
      </c>
      <c r="AA4">
        <f t="shared" si="0"/>
        <v>18</v>
      </c>
      <c r="AB4">
        <f t="shared" si="0"/>
        <v>19</v>
      </c>
      <c r="AC4">
        <f t="shared" si="0"/>
        <v>20</v>
      </c>
      <c r="AD4">
        <f t="shared" si="0"/>
        <v>21</v>
      </c>
      <c r="AE4">
        <f t="shared" si="0"/>
        <v>22</v>
      </c>
      <c r="AF4">
        <f t="shared" si="0"/>
        <v>23</v>
      </c>
      <c r="AG4">
        <f t="shared" ref="AG4:AH4" si="1">+AF4+1</f>
        <v>24</v>
      </c>
      <c r="AH4">
        <f t="shared" si="1"/>
        <v>25</v>
      </c>
    </row>
    <row r="5" spans="3:35" s="313" customFormat="1" ht="30">
      <c r="C5" s="313" t="s">
        <v>200</v>
      </c>
      <c r="D5" s="316" t="s">
        <v>178</v>
      </c>
      <c r="E5" s="314">
        <v>298</v>
      </c>
      <c r="F5" s="315">
        <f>+E5/$E$4*$F$4</f>
        <v>119.2</v>
      </c>
      <c r="G5" s="324" t="s">
        <v>170</v>
      </c>
      <c r="H5" s="315" t="s">
        <v>210</v>
      </c>
      <c r="I5" s="325" t="s">
        <v>214</v>
      </c>
      <c r="J5" s="319">
        <v>2011</v>
      </c>
      <c r="K5" s="320">
        <v>2012</v>
      </c>
      <c r="L5" s="317">
        <v>2013</v>
      </c>
      <c r="M5" s="317">
        <v>2014</v>
      </c>
      <c r="N5" s="317">
        <v>2015</v>
      </c>
      <c r="O5" s="317">
        <v>2016</v>
      </c>
      <c r="P5" s="317">
        <v>2017</v>
      </c>
      <c r="Q5" s="317">
        <v>2018</v>
      </c>
      <c r="R5" s="317">
        <v>2019</v>
      </c>
      <c r="S5" s="317">
        <v>2020</v>
      </c>
      <c r="T5" s="317">
        <v>2021</v>
      </c>
      <c r="U5" s="317">
        <v>2022</v>
      </c>
      <c r="V5" s="317">
        <v>2023</v>
      </c>
      <c r="W5" s="318">
        <v>2024</v>
      </c>
      <c r="X5" s="317">
        <v>2025</v>
      </c>
      <c r="Y5" s="318">
        <v>2026</v>
      </c>
      <c r="Z5" s="317">
        <v>2027</v>
      </c>
      <c r="AA5" s="318">
        <v>2028</v>
      </c>
      <c r="AB5" s="317">
        <v>2029</v>
      </c>
      <c r="AC5" s="318">
        <v>2030</v>
      </c>
      <c r="AD5" s="317">
        <v>2031</v>
      </c>
      <c r="AE5" s="318">
        <v>2032</v>
      </c>
      <c r="AF5" s="317">
        <v>2033</v>
      </c>
      <c r="AG5" s="317">
        <v>2033</v>
      </c>
      <c r="AH5" s="318">
        <v>2033</v>
      </c>
      <c r="AI5" s="314"/>
    </row>
    <row r="6" spans="3:35">
      <c r="C6" s="10" t="s">
        <v>152</v>
      </c>
      <c r="D6" s="29">
        <v>25</v>
      </c>
      <c r="E6" s="328"/>
      <c r="F6" s="328"/>
      <c r="G6" s="248">
        <f>NPV($G$4,J6:AH6)</f>
        <v>178.01158781792151</v>
      </c>
      <c r="H6" s="201">
        <f>+NPV($G$4,L6:W6)/(1+$G$4)^2</f>
        <v>101.53837210582913</v>
      </c>
      <c r="I6" s="30" t="s">
        <v>208</v>
      </c>
      <c r="J6" s="334">
        <f>+J7+J9</f>
        <v>12.630359583419146</v>
      </c>
      <c r="K6" s="335">
        <f t="shared" ref="K6:AH6" si="2">+K7+K9</f>
        <v>12.630359583419144</v>
      </c>
      <c r="L6" s="335">
        <f t="shared" si="2"/>
        <v>12.630359583419148</v>
      </c>
      <c r="M6" s="335">
        <f t="shared" si="2"/>
        <v>12.630359583419146</v>
      </c>
      <c r="N6" s="335">
        <f t="shared" si="2"/>
        <v>12.630359583419144</v>
      </c>
      <c r="O6" s="335">
        <f t="shared" si="2"/>
        <v>12.630359583419146</v>
      </c>
      <c r="P6" s="335">
        <f t="shared" si="2"/>
        <v>12.630359583419144</v>
      </c>
      <c r="Q6" s="335">
        <f t="shared" si="2"/>
        <v>12.630359583419148</v>
      </c>
      <c r="R6" s="335">
        <f t="shared" si="2"/>
        <v>12.630359583419144</v>
      </c>
      <c r="S6" s="335">
        <f t="shared" si="2"/>
        <v>12.630359583419146</v>
      </c>
      <c r="T6" s="335">
        <f t="shared" si="2"/>
        <v>12.630359583419143</v>
      </c>
      <c r="U6" s="335">
        <f t="shared" si="2"/>
        <v>12.63035958341915</v>
      </c>
      <c r="V6" s="335">
        <f t="shared" si="2"/>
        <v>12.630359583419148</v>
      </c>
      <c r="W6" s="335">
        <f t="shared" si="2"/>
        <v>12.630359583419146</v>
      </c>
      <c r="X6" s="335">
        <f t="shared" si="2"/>
        <v>12.630359583419143</v>
      </c>
      <c r="Y6" s="335">
        <f t="shared" si="2"/>
        <v>12.630359583419143</v>
      </c>
      <c r="Z6" s="335">
        <f t="shared" si="2"/>
        <v>12.630359583419144</v>
      </c>
      <c r="AA6" s="335">
        <f t="shared" si="2"/>
        <v>12.630359583419139</v>
      </c>
      <c r="AB6" s="335">
        <f t="shared" si="2"/>
        <v>12.630359583419148</v>
      </c>
      <c r="AC6" s="335">
        <f t="shared" si="2"/>
        <v>12.630359583419139</v>
      </c>
      <c r="AD6" s="335">
        <f t="shared" si="2"/>
        <v>12.630359583419146</v>
      </c>
      <c r="AE6" s="335">
        <f t="shared" si="2"/>
        <v>12.630359583419143</v>
      </c>
      <c r="AF6" s="335">
        <f t="shared" si="2"/>
        <v>12.63035958341915</v>
      </c>
      <c r="AG6" s="335">
        <f t="shared" si="2"/>
        <v>12.630359583419134</v>
      </c>
      <c r="AH6" s="336">
        <f t="shared" si="2"/>
        <v>12.630359583419152</v>
      </c>
      <c r="AI6" s="190"/>
    </row>
    <row r="7" spans="3:35">
      <c r="C7" s="14" t="s">
        <v>202</v>
      </c>
      <c r="D7" s="329">
        <v>9.5000000000000001E-2</v>
      </c>
      <c r="E7" s="328"/>
      <c r="F7" s="328"/>
      <c r="G7" s="199">
        <f t="shared" ref="G7:G11" si="3">NPV($G$4,J7:AH7)</f>
        <v>53.853791313420508</v>
      </c>
      <c r="H7" s="106">
        <f t="shared" ref="H7:H11" si="4">+NPV($G$4,L7:W7)/(1+$G$4)^2</f>
        <v>20.667504907140582</v>
      </c>
      <c r="I7" s="30" t="s">
        <v>215</v>
      </c>
      <c r="J7" s="199">
        <f>-PPMT($D$7,J4,$D$6,$F$5,0)</f>
        <v>1.3063595834191464</v>
      </c>
      <c r="K7" s="199">
        <f t="shared" ref="K7:AH7" si="5">-PPMT($D$7,K4,$D$6,$F$5,0)</f>
        <v>1.4304637438439638</v>
      </c>
      <c r="L7" s="199">
        <f t="shared" si="5"/>
        <v>1.5663577995091433</v>
      </c>
      <c r="M7" s="199">
        <f t="shared" si="5"/>
        <v>1.7151617904625098</v>
      </c>
      <c r="N7" s="199">
        <f t="shared" si="5"/>
        <v>1.8781021605564465</v>
      </c>
      <c r="O7" s="199">
        <f t="shared" si="5"/>
        <v>2.0565218658093105</v>
      </c>
      <c r="P7" s="199">
        <f t="shared" si="5"/>
        <v>2.2518914430611936</v>
      </c>
      <c r="Q7" s="199">
        <f t="shared" si="5"/>
        <v>2.4658211301520119</v>
      </c>
      <c r="R7" s="199">
        <f t="shared" si="5"/>
        <v>2.7000741375164488</v>
      </c>
      <c r="S7" s="199">
        <f t="shared" si="5"/>
        <v>2.956581180580514</v>
      </c>
      <c r="T7" s="199">
        <f t="shared" si="5"/>
        <v>3.237456392735659</v>
      </c>
      <c r="U7" s="199">
        <f t="shared" si="5"/>
        <v>3.5450147500455529</v>
      </c>
      <c r="V7" s="199">
        <f t="shared" si="5"/>
        <v>3.8817911512998791</v>
      </c>
      <c r="W7" s="199">
        <f t="shared" si="5"/>
        <v>4.2505613106733655</v>
      </c>
      <c r="X7" s="199">
        <f t="shared" si="5"/>
        <v>4.6543646351873322</v>
      </c>
      <c r="Y7" s="199">
        <f t="shared" si="5"/>
        <v>5.0965292755301288</v>
      </c>
      <c r="Z7" s="199">
        <f t="shared" si="5"/>
        <v>5.5806995567054924</v>
      </c>
      <c r="AA7" s="199">
        <f t="shared" si="5"/>
        <v>6.1108660145925091</v>
      </c>
      <c r="AB7" s="199">
        <f t="shared" si="5"/>
        <v>6.6913982859788064</v>
      </c>
      <c r="AC7" s="199">
        <f t="shared" si="5"/>
        <v>7.3270811231467849</v>
      </c>
      <c r="AD7" s="199">
        <f t="shared" si="5"/>
        <v>8.0231538298457359</v>
      </c>
      <c r="AE7" s="199">
        <f t="shared" si="5"/>
        <v>8.7853534436810765</v>
      </c>
      <c r="AF7" s="199">
        <f t="shared" si="5"/>
        <v>9.619962020830787</v>
      </c>
      <c r="AG7" s="199">
        <f t="shared" si="5"/>
        <v>10.533858412809694</v>
      </c>
      <c r="AH7" s="199">
        <f t="shared" si="5"/>
        <v>11.534574962026634</v>
      </c>
      <c r="AI7" s="190"/>
    </row>
    <row r="8" spans="3:35">
      <c r="C8" s="330" t="s">
        <v>203</v>
      </c>
      <c r="D8" s="305">
        <v>0.05</v>
      </c>
      <c r="E8" s="328"/>
      <c r="F8" s="328"/>
      <c r="G8" s="199"/>
      <c r="H8" s="106">
        <f t="shared" si="4"/>
        <v>851.27228630198476</v>
      </c>
      <c r="I8" s="30" t="s">
        <v>206</v>
      </c>
      <c r="J8" s="199">
        <f>+F5</f>
        <v>119.2</v>
      </c>
      <c r="K8" s="105">
        <f>-J7+J8</f>
        <v>117.89364041658085</v>
      </c>
      <c r="L8" s="105">
        <f t="shared" ref="L8:AH8" si="6">-K7+K8</f>
        <v>116.46317667273689</v>
      </c>
      <c r="M8" s="105">
        <f t="shared" si="6"/>
        <v>114.89681887322774</v>
      </c>
      <c r="N8" s="105">
        <f t="shared" si="6"/>
        <v>113.18165708276524</v>
      </c>
      <c r="O8" s="105">
        <f t="shared" si="6"/>
        <v>111.30355492220879</v>
      </c>
      <c r="P8" s="105">
        <f t="shared" si="6"/>
        <v>109.24703305639947</v>
      </c>
      <c r="Q8" s="105">
        <f t="shared" si="6"/>
        <v>106.99514161333828</v>
      </c>
      <c r="R8" s="105">
        <f t="shared" si="6"/>
        <v>104.52932048318627</v>
      </c>
      <c r="S8" s="105">
        <f t="shared" si="6"/>
        <v>101.82924634566982</v>
      </c>
      <c r="T8" s="105">
        <f t="shared" si="6"/>
        <v>98.872665165089302</v>
      </c>
      <c r="U8" s="105">
        <f t="shared" si="6"/>
        <v>95.63520877235365</v>
      </c>
      <c r="V8" s="105">
        <f t="shared" si="6"/>
        <v>92.090194022308097</v>
      </c>
      <c r="W8" s="105">
        <f t="shared" si="6"/>
        <v>88.208402871008218</v>
      </c>
      <c r="X8" s="105">
        <f t="shared" si="6"/>
        <v>83.957841560334856</v>
      </c>
      <c r="Y8" s="105">
        <f t="shared" si="6"/>
        <v>79.303476925147521</v>
      </c>
      <c r="Z8" s="105">
        <f t="shared" si="6"/>
        <v>74.206947649617391</v>
      </c>
      <c r="AA8" s="105">
        <f t="shared" si="6"/>
        <v>68.626248092911894</v>
      </c>
      <c r="AB8" s="105">
        <f t="shared" si="6"/>
        <v>62.515382078319384</v>
      </c>
      <c r="AC8" s="105">
        <f t="shared" si="6"/>
        <v>55.823983792340577</v>
      </c>
      <c r="AD8" s="105">
        <f t="shared" si="6"/>
        <v>48.496902669193794</v>
      </c>
      <c r="AE8" s="105">
        <f t="shared" si="6"/>
        <v>40.473748839348062</v>
      </c>
      <c r="AF8" s="105">
        <f t="shared" si="6"/>
        <v>31.688395395666987</v>
      </c>
      <c r="AG8" s="105">
        <f t="shared" si="6"/>
        <v>22.0684333748362</v>
      </c>
      <c r="AH8" s="106">
        <f t="shared" si="6"/>
        <v>11.534574962026506</v>
      </c>
      <c r="AI8" s="190"/>
    </row>
    <row r="9" spans="3:35">
      <c r="C9" s="19" t="s">
        <v>204</v>
      </c>
      <c r="D9" s="331">
        <v>0</v>
      </c>
      <c r="E9" s="2"/>
      <c r="F9" s="2"/>
      <c r="G9" s="199">
        <f t="shared" si="3"/>
        <v>124.15779650450098</v>
      </c>
      <c r="H9" s="106">
        <f t="shared" si="4"/>
        <v>80.870867198688558</v>
      </c>
      <c r="I9" s="30" t="s">
        <v>205</v>
      </c>
      <c r="J9" s="96">
        <f>+J8*$D$7</f>
        <v>11.324</v>
      </c>
      <c r="K9" s="78">
        <f>+K8*$D$7</f>
        <v>11.199895839575181</v>
      </c>
      <c r="L9" s="78">
        <f t="shared" ref="L9:W9" si="7">+L8*$D$7</f>
        <v>11.064001783910005</v>
      </c>
      <c r="M9" s="78">
        <f t="shared" si="7"/>
        <v>10.915197792956636</v>
      </c>
      <c r="N9" s="78">
        <f t="shared" si="7"/>
        <v>10.752257422862698</v>
      </c>
      <c r="O9" s="78">
        <f t="shared" si="7"/>
        <v>10.573837717609836</v>
      </c>
      <c r="P9" s="78">
        <f t="shared" si="7"/>
        <v>10.378468140357951</v>
      </c>
      <c r="Q9" s="78">
        <f t="shared" si="7"/>
        <v>10.164538453267136</v>
      </c>
      <c r="R9" s="78">
        <f t="shared" si="7"/>
        <v>9.9302854459026957</v>
      </c>
      <c r="S9" s="78">
        <f t="shared" si="7"/>
        <v>9.6737784028386322</v>
      </c>
      <c r="T9" s="78">
        <f t="shared" si="7"/>
        <v>9.3929031906834837</v>
      </c>
      <c r="U9" s="78">
        <f t="shared" si="7"/>
        <v>9.0853448333735969</v>
      </c>
      <c r="V9" s="78">
        <f t="shared" si="7"/>
        <v>8.7485684321192689</v>
      </c>
      <c r="W9" s="78">
        <f t="shared" si="7"/>
        <v>8.3797982727457807</v>
      </c>
      <c r="X9" s="78">
        <f t="shared" ref="X9" si="8">+X8*$D$7</f>
        <v>7.9759949482318113</v>
      </c>
      <c r="Y9" s="78">
        <f t="shared" ref="Y9" si="9">+Y8*$D$7</f>
        <v>7.5338303078890148</v>
      </c>
      <c r="Z9" s="78">
        <f t="shared" ref="Z9" si="10">+Z8*$D$7</f>
        <v>7.049660026713652</v>
      </c>
      <c r="AA9" s="78">
        <f t="shared" ref="AA9" si="11">+AA8*$D$7</f>
        <v>6.51949356882663</v>
      </c>
      <c r="AB9" s="78">
        <f t="shared" ref="AB9" si="12">+AB8*$D$7</f>
        <v>5.9389612974403416</v>
      </c>
      <c r="AC9" s="78">
        <f t="shared" ref="AC9" si="13">+AC8*$D$7</f>
        <v>5.3032784602723551</v>
      </c>
      <c r="AD9" s="78">
        <f t="shared" ref="AD9" si="14">+AD8*$D$7</f>
        <v>4.6072057535734103</v>
      </c>
      <c r="AE9" s="78">
        <f t="shared" ref="AE9" si="15">+AE8*$D$7</f>
        <v>3.8450061397380657</v>
      </c>
      <c r="AF9" s="78">
        <f t="shared" ref="AF9" si="16">+AF8*$D$7</f>
        <v>3.0103975625883637</v>
      </c>
      <c r="AG9" s="78">
        <f t="shared" ref="AG9" si="17">+AG8*$D$7</f>
        <v>2.096501170609439</v>
      </c>
      <c r="AH9" s="300">
        <f t="shared" ref="AH9" si="18">+AH8*$D$7</f>
        <v>1.095784621392518</v>
      </c>
      <c r="AI9" s="197"/>
    </row>
    <row r="10" spans="3:35">
      <c r="E10" s="2"/>
      <c r="F10" s="2"/>
      <c r="G10" s="199">
        <f t="shared" si="3"/>
        <v>8.9005793908960751</v>
      </c>
      <c r="H10" s="106">
        <f t="shared" si="4"/>
        <v>5.0769186052914579</v>
      </c>
      <c r="I10" s="30" t="s">
        <v>209</v>
      </c>
      <c r="J10" s="96">
        <f>+J6*$D$8</f>
        <v>0.63151797917095731</v>
      </c>
      <c r="K10" s="78">
        <f t="shared" ref="K10:AH10" si="19">+K6*$D$8</f>
        <v>0.63151797917095731</v>
      </c>
      <c r="L10" s="78">
        <f t="shared" si="19"/>
        <v>0.63151797917095742</v>
      </c>
      <c r="M10" s="78">
        <f t="shared" si="19"/>
        <v>0.63151797917095731</v>
      </c>
      <c r="N10" s="78">
        <f t="shared" si="19"/>
        <v>0.63151797917095731</v>
      </c>
      <c r="O10" s="78">
        <f t="shared" si="19"/>
        <v>0.63151797917095731</v>
      </c>
      <c r="P10" s="78">
        <f t="shared" si="19"/>
        <v>0.63151797917095731</v>
      </c>
      <c r="Q10" s="78">
        <f t="shared" si="19"/>
        <v>0.63151797917095742</v>
      </c>
      <c r="R10" s="78">
        <f t="shared" si="19"/>
        <v>0.63151797917095731</v>
      </c>
      <c r="S10" s="78">
        <f t="shared" si="19"/>
        <v>0.63151797917095731</v>
      </c>
      <c r="T10" s="78">
        <f t="shared" si="19"/>
        <v>0.6315179791709572</v>
      </c>
      <c r="U10" s="78">
        <f t="shared" si="19"/>
        <v>0.63151797917095753</v>
      </c>
      <c r="V10" s="78">
        <f t="shared" si="19"/>
        <v>0.63151797917095742</v>
      </c>
      <c r="W10" s="78">
        <f t="shared" si="19"/>
        <v>0.63151797917095731</v>
      </c>
      <c r="X10" s="78">
        <f t="shared" si="19"/>
        <v>0.6315179791709572</v>
      </c>
      <c r="Y10" s="78">
        <f t="shared" si="19"/>
        <v>0.6315179791709572</v>
      </c>
      <c r="Z10" s="78">
        <f t="shared" si="19"/>
        <v>0.63151797917095731</v>
      </c>
      <c r="AA10" s="78">
        <f t="shared" si="19"/>
        <v>0.63151797917095698</v>
      </c>
      <c r="AB10" s="78">
        <f t="shared" si="19"/>
        <v>0.63151797917095742</v>
      </c>
      <c r="AC10" s="78">
        <f t="shared" si="19"/>
        <v>0.63151797917095698</v>
      </c>
      <c r="AD10" s="78">
        <f t="shared" si="19"/>
        <v>0.63151797917095731</v>
      </c>
      <c r="AE10" s="78">
        <f t="shared" si="19"/>
        <v>0.6315179791709572</v>
      </c>
      <c r="AF10" s="78">
        <f t="shared" si="19"/>
        <v>0.63151797917095753</v>
      </c>
      <c r="AG10" s="78">
        <f t="shared" si="19"/>
        <v>0.63151797917095676</v>
      </c>
      <c r="AH10" s="300">
        <f t="shared" si="19"/>
        <v>0.63151797917095764</v>
      </c>
    </row>
    <row r="11" spans="3:35">
      <c r="C11" s="332" t="s">
        <v>171</v>
      </c>
      <c r="D11" s="314" t="s">
        <v>178</v>
      </c>
      <c r="E11" s="8">
        <f>21*1.4/2</f>
        <v>14.7</v>
      </c>
      <c r="F11" s="315">
        <f>+E11/$E$4*$F$4</f>
        <v>5.88</v>
      </c>
      <c r="G11" s="251">
        <f t="shared" si="3"/>
        <v>96.994524887500404</v>
      </c>
      <c r="H11" s="108">
        <f t="shared" si="4"/>
        <v>52.838741230424191</v>
      </c>
      <c r="I11" s="21" t="s">
        <v>213</v>
      </c>
      <c r="J11" s="321">
        <f>+F11</f>
        <v>5.88</v>
      </c>
      <c r="K11" s="322">
        <f>+J11*($E$12*$D$12+$E$13*$D$13)</f>
        <v>5.9740799999999998</v>
      </c>
      <c r="L11" s="322">
        <f t="shared" ref="L11:AH11" si="20">+K11*($E$12*$D$12+$E$13*$D$13)</f>
        <v>6.0696652799999997</v>
      </c>
      <c r="M11" s="322">
        <f t="shared" si="20"/>
        <v>6.1667799244800001</v>
      </c>
      <c r="N11" s="322">
        <f t="shared" si="20"/>
        <v>6.2654484032716802</v>
      </c>
      <c r="O11" s="322">
        <f t="shared" si="20"/>
        <v>6.3656955777240274</v>
      </c>
      <c r="P11" s="322">
        <f t="shared" si="20"/>
        <v>6.467546706967612</v>
      </c>
      <c r="Q11" s="322">
        <f t="shared" si="20"/>
        <v>6.5710274542790943</v>
      </c>
      <c r="R11" s="322">
        <f t="shared" si="20"/>
        <v>6.6761638935475602</v>
      </c>
      <c r="S11" s="322">
        <f t="shared" si="20"/>
        <v>6.7829825158443215</v>
      </c>
      <c r="T11" s="322">
        <f t="shared" si="20"/>
        <v>6.8915102360978304</v>
      </c>
      <c r="U11" s="322">
        <f t="shared" si="20"/>
        <v>7.0017743998753961</v>
      </c>
      <c r="V11" s="322">
        <f t="shared" si="20"/>
        <v>7.1138027902734029</v>
      </c>
      <c r="W11" s="322">
        <f t="shared" si="20"/>
        <v>7.2276236349177774</v>
      </c>
      <c r="X11" s="322">
        <f t="shared" si="20"/>
        <v>7.3432656130764622</v>
      </c>
      <c r="Y11" s="322">
        <f t="shared" si="20"/>
        <v>7.4607578628856857</v>
      </c>
      <c r="Z11" s="322">
        <f t="shared" si="20"/>
        <v>7.5801299886918567</v>
      </c>
      <c r="AA11" s="322">
        <f t="shared" si="20"/>
        <v>7.7014120685109262</v>
      </c>
      <c r="AB11" s="322">
        <f t="shared" si="20"/>
        <v>7.8246346616071012</v>
      </c>
      <c r="AC11" s="322">
        <f t="shared" si="20"/>
        <v>7.9498288161928148</v>
      </c>
      <c r="AD11" s="322">
        <f t="shared" si="20"/>
        <v>8.0770260772518991</v>
      </c>
      <c r="AE11" s="322">
        <f t="shared" si="20"/>
        <v>8.2062584944879298</v>
      </c>
      <c r="AF11" s="322">
        <f t="shared" si="20"/>
        <v>8.3375586303997373</v>
      </c>
      <c r="AG11" s="322">
        <f t="shared" si="20"/>
        <v>8.4709595684861334</v>
      </c>
      <c r="AH11" s="323">
        <f t="shared" si="20"/>
        <v>8.6064949215819109</v>
      </c>
    </row>
    <row r="12" spans="3:35">
      <c r="C12" s="10" t="s">
        <v>211</v>
      </c>
      <c r="D12" s="27">
        <v>1.01</v>
      </c>
      <c r="E12" s="333">
        <v>0.4</v>
      </c>
      <c r="F12">
        <f>+F5*14/25</f>
        <v>66.751999999999995</v>
      </c>
      <c r="H12" s="190">
        <f>+H10+H6</f>
        <v>106.61529071112058</v>
      </c>
    </row>
    <row r="13" spans="3:35">
      <c r="C13" s="19" t="s">
        <v>212</v>
      </c>
      <c r="D13" s="21">
        <v>1.02</v>
      </c>
      <c r="E13" s="331">
        <v>0.6</v>
      </c>
    </row>
    <row r="15" spans="3:35">
      <c r="G15" s="1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Dif Contratos</vt:lpstr>
      <vt:lpstr>Margen</vt:lpstr>
      <vt:lpstr>Graphics</vt:lpstr>
      <vt:lpstr>Referen</vt:lpstr>
      <vt:lpstr>'Dif Contratos'!Zone_d_impression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2011-05-03T14:47:07Z</cp:lastPrinted>
  <dcterms:created xsi:type="dcterms:W3CDTF">2011-05-03T11:44:18Z</dcterms:created>
  <dcterms:modified xsi:type="dcterms:W3CDTF">2011-05-23T22:09:05Z</dcterms:modified>
</cp:coreProperties>
</file>